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activeTab="4"/>
  </bookViews>
  <sheets>
    <sheet name="Доходы" sheetId="1" r:id="rId1"/>
    <sheet name="вед " sheetId="2" r:id="rId2"/>
    <sheet name="функц" sheetId="3" r:id="rId3"/>
    <sheet name="ДЦП" sheetId="4" r:id="rId4"/>
    <sheet name="Источниковая" sheetId="5" r:id="rId5"/>
  </sheets>
  <definedNames>
    <definedName name="Excel_BuiltIn_Print_Area_4_1">#REF!</definedName>
    <definedName name="Excel_BuiltIn_Print_Area_6">#REF!</definedName>
    <definedName name="Excel_BuiltIn_Print_Titles_1_1">#REF!</definedName>
    <definedName name="Excel_BuiltIn_Print_Titles_6">#REF!</definedName>
    <definedName name="_xlnm.Print_Titles" localSheetId="1">'вед '!$13:$13</definedName>
    <definedName name="_xlnm.Print_Titles" localSheetId="3">'ДЦП'!$17:$17</definedName>
    <definedName name="_xlnm.Print_Area" localSheetId="3">'ДЦП'!$A$1:$E$93</definedName>
  </definedNames>
  <calcPr fullCalcOnLoad="1"/>
</workbook>
</file>

<file path=xl/sharedStrings.xml><?xml version="1.0" encoding="utf-8"?>
<sst xmlns="http://schemas.openxmlformats.org/spreadsheetml/2006/main" count="2439" uniqueCount="365">
  <si>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</si>
  <si>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</si>
  <si>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</si>
  <si>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</si>
  <si>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</si>
  <si>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Благоустройство</t>
  </si>
  <si>
    <t xml:space="preserve">КУЛЬТУРА, КИНЕМАТОГРАФИЯ </t>
  </si>
  <si>
    <t xml:space="preserve">Культура 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</si>
  <si>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</si>
  <si>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</si>
  <si>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</si>
  <si>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</si>
  <si>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Физическая культура </t>
  </si>
  <si>
    <t>Массовый спорт</t>
  </si>
  <si>
    <t>СРЕДСТВА МАССОВОЙ ИНФОРМАЦИИ</t>
  </si>
  <si>
    <t>Приложение № 4</t>
  </si>
  <si>
    <t>Приложение № 5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</si>
  <si>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</si>
  <si>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</si>
  <si>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</si>
  <si>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</si>
  <si>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</si>
  <si>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</si>
  <si>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Связь и информатика</t>
  </si>
  <si>
    <t>Расходы на выплаты персоналу казенных учреждений</t>
  </si>
  <si>
    <t>110</t>
  </si>
  <si>
    <t>Председатель представительного органа муниципального образования</t>
  </si>
  <si>
    <t xml:space="preserve">Центральный аппарат </t>
  </si>
  <si>
    <t>800</t>
  </si>
  <si>
    <t>610</t>
  </si>
  <si>
    <t>540</t>
  </si>
  <si>
    <t>121</t>
  </si>
  <si>
    <t>122</t>
  </si>
  <si>
    <t>244</t>
  </si>
  <si>
    <t>Прочая закупка товаров, работ и услуг для государственных нужд</t>
  </si>
  <si>
    <t>851</t>
  </si>
  <si>
    <t>852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</si>
  <si>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</si>
  <si>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</si>
  <si>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</si>
  <si>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243</t>
  </si>
  <si>
    <t>АДМИНИСТРАЦИЯ СЕЛЬСКОГО ПОСЕЛЕНИЯ ДОРОХОВСКОЕ</t>
  </si>
  <si>
    <t>940</t>
  </si>
  <si>
    <t>СОВЕТ ДЕПУТАТОВ СЕЛЬСКОГО ПОСЕЛЕНИЯ ДОРОХОВСКОЕ</t>
  </si>
  <si>
    <t xml:space="preserve">Приложение </t>
  </si>
  <si>
    <t xml:space="preserve">к Закону Московской области </t>
  </si>
  <si>
    <t xml:space="preserve">"О внесении изменений в Закон Московской области   </t>
  </si>
  <si>
    <t>"О бюджете Московской области на 2011 год"</t>
  </si>
  <si>
    <t>№ п/п</t>
  </si>
  <si>
    <t xml:space="preserve">Наименования </t>
  </si>
  <si>
    <t>3</t>
  </si>
  <si>
    <t>4</t>
  </si>
  <si>
    <t>Приложение № 6</t>
  </si>
  <si>
    <t>Межбюджетные трансферты</t>
  </si>
  <si>
    <t>111</t>
  </si>
  <si>
    <t>112</t>
  </si>
  <si>
    <t>2000031</t>
  </si>
  <si>
    <t xml:space="preserve">Муниципальные программы </t>
  </si>
  <si>
    <t>Сумма</t>
  </si>
  <si>
    <t>Иные межбюджетные трансферты</t>
  </si>
  <si>
    <t>Субсидии бюджетам муниципальных образований Московской области на финансирование работ по капитальному ремонту и ремонту автомобильных дорог общего пользования населенных пунктов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</si>
  <si>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</si>
  <si>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</si>
  <si>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</si>
  <si>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</si>
  <si>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</si>
  <si>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</si>
  <si>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</si>
  <si>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</si>
  <si>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</si>
  <si>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</si>
  <si>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03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</si>
  <si>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</si>
  <si>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</si>
  <si>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 xml:space="preserve">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</si>
  <si>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</si>
  <si>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</si>
  <si>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</si>
  <si>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</si>
  <si>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</si>
  <si>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</si>
  <si>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</si>
  <si>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</si>
  <si>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</si>
  <si>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</si>
  <si>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</si>
  <si>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</si>
  <si>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</si>
  <si>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Дорожное хозяйство (дорожные фонды)</t>
  </si>
  <si>
    <t>10</t>
  </si>
  <si>
    <t>Отдельные мероприятия в области информационно-коммуникационных технологий и связи</t>
  </si>
  <si>
    <t>Другие расходы в области национальной экономики</t>
  </si>
  <si>
    <t>12</t>
  </si>
  <si>
    <t>Взносы на капитальный ремонт муниципальных квартир</t>
  </si>
  <si>
    <t>99 9 2901</t>
  </si>
  <si>
    <t>Закупка товаров, работ и услуг в целях капитального ремонта государственного и муниципального имущества</t>
  </si>
  <si>
    <t>Муниципальная программа "Культура"</t>
  </si>
  <si>
    <t>Муниципальная программа "Физическая культура и спорт"</t>
  </si>
  <si>
    <t>Муниципальная программа "Средства массовой информации"</t>
  </si>
  <si>
    <t>321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</si>
  <si>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</si>
  <si>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</si>
  <si>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853</t>
  </si>
  <si>
    <t>Уплата иных платежей</t>
  </si>
  <si>
    <t>14 2 6024</t>
  </si>
  <si>
    <t>41 0 2784</t>
  </si>
  <si>
    <t>611</t>
  </si>
  <si>
    <t>612</t>
  </si>
  <si>
    <t>Субсидии бюджетным учреждениям на иные цели</t>
  </si>
  <si>
    <t>70 0 00 00000</t>
  </si>
  <si>
    <t>70 0 00 01000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</si>
  <si>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</si>
  <si>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</si>
  <si>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99 0 00 00000</t>
  </si>
  <si>
    <t>99 0 00 00610</t>
  </si>
  <si>
    <t>99 0 00 02900</t>
  </si>
  <si>
    <t>Взносы муниципальных образований в общественные организации</t>
  </si>
  <si>
    <t>99 0 00 00853</t>
  </si>
  <si>
    <t>99 0 00 51180</t>
  </si>
  <si>
    <t>10 0 00 00000</t>
  </si>
  <si>
    <t>Основное мероприятие "Создание условий для реализации полномочий органов местного самоуправления"</t>
  </si>
  <si>
    <t>10 0 01 00000</t>
  </si>
  <si>
    <t>Расходы на обеспечение пожарной безопасности</t>
  </si>
  <si>
    <t>10 0 01 10000</t>
  </si>
  <si>
    <t>99 0 00 02910</t>
  </si>
  <si>
    <t>99 0 00 02920</t>
  </si>
  <si>
    <t>60 0 00 00000</t>
  </si>
  <si>
    <t>60 1 00 00000</t>
  </si>
  <si>
    <t>60 1 01 00000</t>
  </si>
  <si>
    <t>Расходы на уличное освещение</t>
  </si>
  <si>
    <t>60 1 01 60100</t>
  </si>
  <si>
    <t>60 2 00 00000</t>
  </si>
  <si>
    <t>60 2 01 00000</t>
  </si>
  <si>
    <t>60 2 01 60200</t>
  </si>
  <si>
    <t>Расходы на ремонт дворовых территорий</t>
  </si>
  <si>
    <t>20 0 00 00000</t>
  </si>
  <si>
    <t xml:space="preserve">Подпрограмма "Уличное освещение" </t>
  </si>
  <si>
    <t xml:space="preserve">Подпрограмма "Дворовые территории" </t>
  </si>
  <si>
    <t>20 1 00 00000</t>
  </si>
  <si>
    <t>Основное мероприятие "Обеспечение функций муниципальных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</si>
  <si>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</si>
  <si>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20 1 02 00000</t>
  </si>
  <si>
    <t>20 1 02 20100</t>
  </si>
  <si>
    <t>20 2 02 20200</t>
  </si>
  <si>
    <t>20 2 00 00000</t>
  </si>
  <si>
    <t>20 2 02 00000</t>
  </si>
  <si>
    <t>Расходы на проведение мероприятий в сфере культуры</t>
  </si>
  <si>
    <t>Централизованная бухгалтерия</t>
  </si>
  <si>
    <t>99 0 00 02930</t>
  </si>
  <si>
    <t>Доплаты к пенсиям муниципальных служащих</t>
  </si>
  <si>
    <t>99 0 00 02940</t>
  </si>
  <si>
    <t>Социальные выплаты гражданам, кроме публичных нормативных социальных выплат</t>
  </si>
  <si>
    <t>320</t>
  </si>
  <si>
    <t>61 0 00 00000</t>
  </si>
  <si>
    <t xml:space="preserve">Подпрограмма "Развитие МУФК и С СП Дороховское" </t>
  </si>
  <si>
    <t>61 1 00 00000</t>
  </si>
  <si>
    <t>61 1 02 00000</t>
  </si>
  <si>
    <t>Расходы на развитие МУФК и С СП Дороховское</t>
  </si>
  <si>
    <t>61 1 02 61100</t>
  </si>
  <si>
    <t xml:space="preserve">Подпрограмма "Мероприятия с сфере физической культуры и спорта" </t>
  </si>
  <si>
    <t>61 2 00 00000</t>
  </si>
  <si>
    <t>61 2 02 00000</t>
  </si>
  <si>
    <t>Расходы на проведение мероприятий в сфере физической культуры и спорта</t>
  </si>
  <si>
    <t>61 2 02 61200</t>
  </si>
  <si>
    <t>62 0 00 00000</t>
  </si>
  <si>
    <t>Подпрограмма "Развитие МКУ ИЦ "Дорохово-инфо"</t>
  </si>
  <si>
    <t>62 1 00 00000</t>
  </si>
  <si>
    <t>62 1 02 00000</t>
  </si>
  <si>
    <t>Расходы на развитие МКУ ИЦ "Дорохово-инфо"</t>
  </si>
  <si>
    <t>62 1 02 62100</t>
  </si>
  <si>
    <t>70 0 00 02010</t>
  </si>
  <si>
    <t>70 0 00 02020</t>
  </si>
  <si>
    <t xml:space="preserve">Подпрограмма "Мероприятия в сфере физической культуры и спорта" </t>
  </si>
  <si>
    <t>БЮДЖЕТ СЕЛЬСКОГО ПОСЕЛЕНИЯ ДОРОХОВСКОЕ</t>
  </si>
  <si>
    <t xml:space="preserve">Ведомственная структура бюджетных ассигнований сельского поселения Дороховское на  2017 год </t>
  </si>
  <si>
    <t>Распределение бюджетных ассигнований сельского поселения Дороховское на 2017 год по разделам, подразделам, целевым статьям и группам (группам и подгруппам) видов расходов</t>
  </si>
  <si>
    <t>Расходы бюджета сельского поселения Дороховское на финансирование мероприятий муниципальных программ на 2017 год</t>
  </si>
  <si>
    <t>129</t>
  </si>
  <si>
    <t>Прочая закупка товаров, работ и услуг для обеспечения государственных (муниципальных) нужд</t>
  </si>
  <si>
    <t>99 0 00 11000</t>
  </si>
  <si>
    <t>99 0 00 11840</t>
  </si>
  <si>
    <t>99 0 00 40840</t>
  </si>
  <si>
    <t>99 0 00 40000</t>
  </si>
  <si>
    <t>Муниципальная программа "Обеспечение первичных мер пожарной безопасности в границах населенных пунктов сельского поселения Дороховское Рузского муниципального района на 2017 год"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</si>
  <si>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</si>
  <si>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"Благоустройство населенных пунктов сельского поселения Дороховское Рузского муниципального района Московской области на 2017 год"</t>
  </si>
  <si>
    <t>Субсидии бюджетным, автономным учреждениям и иным некоммерческим организациям</t>
  </si>
  <si>
    <t xml:space="preserve">Подпрограмма "Хозяйственная деятельность МУК СП Дороховское" </t>
  </si>
  <si>
    <t>119</t>
  </si>
  <si>
    <t xml:space="preserve">Подпрограмма "Культурно-массовые мероприятия МУК СП Дороховское" </t>
  </si>
  <si>
    <t>Обеспечение деятельности представительного органа муниципального образования</t>
  </si>
  <si>
    <t>(рублей)</t>
  </si>
  <si>
    <t>20 3 00 00000</t>
  </si>
  <si>
    <t>Подпрограмма "Доступная среда в учреждениях культуры"</t>
  </si>
  <si>
    <t>Расходы на проведение мероприятий по обеспечению доступности объектов культуры</t>
  </si>
  <si>
    <t>20 3 02 00000</t>
  </si>
  <si>
    <t>20 3 02 20300</t>
  </si>
  <si>
    <t>Сумма,                      (рублей)</t>
  </si>
  <si>
    <t>200</t>
  </si>
  <si>
    <t>Закупка товаров, работ и услуг для государственных (муниципальных) нужд</t>
  </si>
  <si>
    <t>100</t>
  </si>
  <si>
    <t>Иные бюджетные ассигнования</t>
  </si>
  <si>
    <t>Целевая статья</t>
  </si>
  <si>
    <t>Вид расхода</t>
  </si>
  <si>
    <t>60 3 00 00000</t>
  </si>
  <si>
    <t>60 3 01 00000</t>
  </si>
  <si>
    <t>60 3 01 60300</t>
  </si>
  <si>
    <t xml:space="preserve">Подпрограмма "Прочее благоустройство" </t>
  </si>
  <si>
    <t>Расходы на прочее благоустройство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</si>
  <si>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</si>
  <si>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</si>
  <si>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</si>
  <si>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</si>
  <si>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</si>
  <si>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</si>
  <si>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</si>
  <si>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</si>
  <si>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Периодическая печать и издательства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</si>
  <si>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соглашением на осуществление полномочий в сфере контроля за исполнением местного бюджета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</si>
  <si>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соглашением на определение поставщиков (подрядчиков, исполнителей) при осуществлении закупок товаров, работ, услуг для обеспечения муниципальных нужд</t>
  </si>
  <si>
    <t>Расходы на обеспечение деятельности МУК СП Дороховское</t>
  </si>
  <si>
    <t>99 0 00 02911</t>
  </si>
  <si>
    <t>Отдельные общегосударственные вопросы касаемые государственной (муниципальной) собственности</t>
  </si>
  <si>
    <t>Муниципальная программа «Комплекс изыскательских и проектных работ по объекту «Стела «Населенный пункт воинской доблести» в п.Дорохово Рузского муниципального района Московской области на 2016 год»</t>
  </si>
  <si>
    <t>66 6 01 60600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</si>
  <si>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</si>
  <si>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</si>
  <si>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</si>
  <si>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</si>
  <si>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</t>
  </si>
  <si>
    <t>Муниципальная программа "Стела "Населенный пункт воинской доблести" в п. Дорохово Рузского муниципального района Московской области на 2016 - 2017 годы"</t>
  </si>
  <si>
    <t>66 6 01 60280</t>
  </si>
  <si>
    <t>7</t>
  </si>
  <si>
    <t>66 0 00 00000</t>
  </si>
  <si>
    <t>Муниципальная программа "Стела "Населенный пункт воинской доблести" в п. Дорохово Рузского муниципального района Московской области на 2017 год"</t>
  </si>
  <si>
    <t>Приложение № 1</t>
  </si>
  <si>
    <t>к решению Совета депутатов сельского поселения Дороховское</t>
  </si>
  <si>
    <t>от 15 декабря 2016 года № 253/53</t>
  </si>
  <si>
    <t xml:space="preserve">"О бюджете сельского поселения Дороховское </t>
  </si>
  <si>
    <t>Рузского муниципального района Московской области на 2017 год"</t>
  </si>
  <si>
    <t>"О бюджете сельского поселения Дороховское</t>
  </si>
  <si>
    <t>Приложение № 2</t>
  </si>
  <si>
    <t>Приложение № 3</t>
  </si>
  <si>
    <t>к решению Совета депутатов сельского поселения Дороховско</t>
  </si>
  <si>
    <t>Приложение №1</t>
  </si>
  <si>
    <t>Поступления доходов в бюджет сельского поселения Дороховское на 2017 год</t>
  </si>
  <si>
    <t>руб.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</si>
  <si>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</si>
  <si>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</si>
  <si>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</si>
  <si>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</si>
  <si>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</si>
  <si>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</si>
  <si>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</si>
  <si>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</si>
  <si>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</si>
  <si>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</si>
  <si>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</si>
  <si>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</si>
  <si>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</si>
  <si>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</si>
  <si>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</si>
  <si>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</si>
  <si>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</si>
  <si>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</si>
  <si>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</si>
  <si>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</si>
  <si>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</si>
  <si>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</si>
  <si>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</si>
  <si>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</si>
  <si>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</si>
  <si>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</si>
  <si>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940 1 11 05035 10 0000 120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</si>
  <si>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</si>
  <si>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</si>
  <si>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И КОМПЕНСАЦИЙ ЗАТРАТ ГОСУДАРСТВА</t>
  </si>
  <si>
    <t>940 1 13 01995 10 0000 130</t>
  </si>
  <si>
    <t>Прочие доходы от оказания платных услуг (работ) 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</si>
  <si>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</si>
  <si>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</si>
  <si>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940 1 14 02053 10 0000 410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</si>
  <si>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</si>
  <si>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000 1 17 00000 00 0000 000</t>
  </si>
  <si>
    <t>ПРОЧИЕ НЕНАЛОГОВЫЕ ДОХОДЫ</t>
  </si>
  <si>
    <t>940 1 17 05050 10 0000 180</t>
  </si>
  <si>
    <t>Прочие неналоговые доходы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</si>
  <si>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</si>
  <si>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</si>
  <si>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</si>
  <si>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</si>
  <si>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940 2 02 29999 10 0000 151</t>
  </si>
  <si>
    <t>Прочие субсидии бюджетам поселений</t>
  </si>
  <si>
    <t>940 2 02 35118 10 0000 151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</si>
  <si>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</si>
  <si>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940 2 19 60010 05 0000 151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</si>
  <si>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</si>
  <si>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</si>
  <si>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Приложение № 8</t>
  </si>
  <si>
    <t>вид источников финансирования дефицитов бюджета</t>
  </si>
  <si>
    <t>Наименование</t>
  </si>
  <si>
    <t xml:space="preserve">Сумма, рублей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</si>
  <si>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</si>
  <si>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</si>
  <si>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</si>
  <si>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</si>
  <si>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</si>
  <si>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</si>
  <si>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</si>
  <si>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</si>
  <si>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сельского поселения Дороховское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</si>
  <si>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</si>
  <si>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</si>
  <si>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</si>
  <si>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</si>
  <si>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</si>
  <si>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</si>
  <si>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</si>
  <si>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</si>
  <si>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</si>
  <si>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t>810</t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</si>
  <si>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</si>
  <si>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</si>
  <si>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</si>
  <si>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</si>
  <si>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</si>
  <si>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</si>
  <si>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</si>
  <si>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</si>
  <si>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</si>
  <si>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</si>
  <si>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</si>
  <si>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</si>
  <si>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</si>
  <si>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</si>
  <si>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</si>
  <si>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</si>
  <si>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r>
      <t xml:space="preserve">     Уменьшение прочих остатков денежных средств бюджета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</si>
  <si>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</si>
  <si>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</si>
  <si>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</si>
  <si>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</si>
  <si>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</si>
  <si>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</si>
  <si>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</si>
  <si>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</si>
  <si>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</si>
  <si>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</si>
  <si>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</si>
  <si>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</si>
  <si>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</si>
  <si>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Предоставление бюджетных кредитов юридическим лицам из местных бюджетов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</si>
  <si>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</si>
  <si>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940 2 18 60010 10 0000 151</t>
  </si>
  <si>
    <t>940 2 18 05010 10 0000 180</t>
  </si>
  <si>
    <t>Доходы бюджетов сельских поселений от возврата бюджетными учреждениями остатков субсидий прошлых лет</t>
  </si>
  <si>
    <t>Источники внутреннего финансирования дефицита бюджета сельского поселения Дороховское на 2017 год</t>
  </si>
  <si>
    <t>66 6 01 S0280</t>
  </si>
  <si>
    <t>7000001000</t>
  </si>
  <si>
    <t>Обеспечение деятельности органов местного самоуправления</t>
  </si>
  <si>
    <t>Иные межбюджетные трансферты  бюджетам муниципальных районов из бюджета поселений  на софинансирование расходов по Муниципальной программе "Стела "Населенный пункт воинской доблести" в п. Дорохово Рузского муниципального района Московской области на 2017 год"</t>
  </si>
  <si>
    <t>Иные межбюджетные трансферты  бюджетам муниципальных районов из бюджета поселений за счет средств субсидии из бюджета Московской области на финансирование Муниципальной программы "Стела "Населенный пункт воинской доблести" в п. Дорохово Рузского муниципального района Московской области на 2017 год"</t>
  </si>
  <si>
    <t>от "26" июля 2017 горда № 68/7</t>
  </si>
  <si>
    <t>от "26" июля 2017 года № 68/7</t>
  </si>
  <si>
    <t>к Решению Совета депутатов Рузского городского округа Московской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</si>
</sst>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,##0_р_."/>
    <numFmt numFmtId="175" formatCode="0.0"/>
    <numFmt numFmtId="176" formatCode="_-* #,##0.00\ _р_._-;\-* #,##0.00\ _р_._-;_-* &quot;-&quot;??\ _р_._-;_-@_-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6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9"/>
      <name val="Times New Roman Cyr"/>
      <family val="1"/>
    </font>
    <font>
      <sz val="9"/>
      <name val="Arial Cyr"/>
      <family val="2"/>
    </font>
    <font>
      <b/>
      <sz val="9"/>
      <name val="Times New Roman Cyr"/>
      <family val="1"/>
    </font>
    <font>
      <i/>
      <sz val="9"/>
      <name val="Times New Roman Cyr"/>
      <family val="1"/>
    </font>
    <font>
      <sz val="9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10" xfId="0" applyFont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right"/>
    </xf>
    <xf numFmtId="173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53" applyFont="1" applyAlignment="1">
      <alignment wrapText="1"/>
      <protection/>
    </xf>
    <xf numFmtId="0" fontId="13" fillId="0" borderId="0" xfId="53" applyFont="1" applyAlignment="1">
      <alignment/>
      <protection/>
    </xf>
    <xf numFmtId="49" fontId="13" fillId="0" borderId="0" xfId="53" applyNumberFormat="1" applyFont="1" applyAlignment="1">
      <alignment horizontal="left"/>
      <protection/>
    </xf>
    <xf numFmtId="49" fontId="13" fillId="0" borderId="0" xfId="53" applyNumberFormat="1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4" fillId="0" borderId="0" xfId="53" applyFont="1" applyAlignment="1">
      <alignment wrapText="1"/>
      <protection/>
    </xf>
    <xf numFmtId="0" fontId="14" fillId="0" borderId="0" xfId="53" applyFont="1" applyAlignment="1">
      <alignment/>
      <protection/>
    </xf>
    <xf numFmtId="49" fontId="14" fillId="0" borderId="0" xfId="53" applyNumberFormat="1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14" fillId="0" borderId="0" xfId="53" applyFont="1">
      <alignment/>
      <protection/>
    </xf>
    <xf numFmtId="0" fontId="13" fillId="0" borderId="0" xfId="53" applyFont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horizontal="justify"/>
      <protection/>
    </xf>
    <xf numFmtId="49" fontId="13" fillId="0" borderId="0" xfId="53" applyNumberFormat="1" applyFont="1" applyBorder="1" applyAlignment="1">
      <alignment horizontal="justify"/>
      <protection/>
    </xf>
    <xf numFmtId="0" fontId="13" fillId="0" borderId="0" xfId="53" applyFont="1" applyBorder="1" applyAlignment="1">
      <alignment horizontal="right"/>
      <protection/>
    </xf>
    <xf numFmtId="0" fontId="13" fillId="0" borderId="0" xfId="53" applyFont="1" applyBorder="1">
      <alignment/>
      <protection/>
    </xf>
    <xf numFmtId="0" fontId="15" fillId="34" borderId="11" xfId="53" applyFont="1" applyFill="1" applyBorder="1" applyAlignment="1">
      <alignment horizontal="center" wrapText="1"/>
      <protection/>
    </xf>
    <xf numFmtId="49" fontId="15" fillId="34" borderId="11" xfId="53" applyNumberFormat="1" applyFont="1" applyFill="1" applyBorder="1" applyAlignment="1">
      <alignment horizontal="center" wrapText="1"/>
      <protection/>
    </xf>
    <xf numFmtId="3" fontId="15" fillId="34" borderId="11" xfId="53" applyNumberFormat="1" applyFont="1" applyFill="1" applyBorder="1" applyAlignment="1">
      <alignment horizont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174" fontId="13" fillId="0" borderId="0" xfId="53" applyNumberFormat="1" applyFont="1">
      <alignment/>
      <protection/>
    </xf>
    <xf numFmtId="0" fontId="15" fillId="35" borderId="11" xfId="53" applyFont="1" applyFill="1" applyBorder="1" applyAlignment="1">
      <alignment horizontal="center" wrapText="1"/>
      <protection/>
    </xf>
    <xf numFmtId="49" fontId="15" fillId="35" borderId="11" xfId="53" applyNumberFormat="1" applyFont="1" applyFill="1" applyBorder="1" applyAlignment="1">
      <alignment horizontal="center" wrapText="1"/>
      <protection/>
    </xf>
    <xf numFmtId="3" fontId="15" fillId="35" borderId="11" xfId="53" applyNumberFormat="1" applyFont="1" applyFill="1" applyBorder="1" applyAlignment="1">
      <alignment horizontal="center" wrapText="1"/>
      <protection/>
    </xf>
    <xf numFmtId="0" fontId="15" fillId="35" borderId="11" xfId="53" applyFont="1" applyFill="1" applyBorder="1" applyAlignment="1">
      <alignment vertical="center" wrapText="1"/>
      <protection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top" wrapText="1"/>
      <protection/>
    </xf>
    <xf numFmtId="3" fontId="15" fillId="0" borderId="0" xfId="53" applyNumberFormat="1" applyFont="1" applyAlignment="1">
      <alignment horizontal="center" vertical="top"/>
      <protection/>
    </xf>
    <xf numFmtId="174" fontId="15" fillId="0" borderId="0" xfId="53" applyNumberFormat="1" applyFont="1">
      <alignment/>
      <protection/>
    </xf>
    <xf numFmtId="0" fontId="15" fillId="0" borderId="0" xfId="53" applyFont="1">
      <alignment/>
      <protection/>
    </xf>
    <xf numFmtId="49" fontId="16" fillId="0" borderId="11" xfId="53" applyNumberFormat="1" applyFont="1" applyBorder="1" applyAlignment="1">
      <alignment horizontal="center" wrapText="1"/>
      <protection/>
    </xf>
    <xf numFmtId="0" fontId="16" fillId="0" borderId="11" xfId="53" applyFont="1" applyBorder="1" applyAlignment="1">
      <alignment wrapText="1"/>
      <protection/>
    </xf>
    <xf numFmtId="0" fontId="16" fillId="0" borderId="0" xfId="53" applyFont="1" applyBorder="1" applyAlignment="1">
      <alignment horizontal="center" vertical="top" wrapText="1"/>
      <protection/>
    </xf>
    <xf numFmtId="0" fontId="16" fillId="0" borderId="0" xfId="53" applyFont="1">
      <alignment/>
      <protection/>
    </xf>
    <xf numFmtId="0" fontId="15" fillId="36" borderId="11" xfId="53" applyFont="1" applyFill="1" applyBorder="1" applyAlignment="1">
      <alignment horizontal="center" vertical="center" wrapText="1"/>
      <protection/>
    </xf>
    <xf numFmtId="0" fontId="15" fillId="36" borderId="11" xfId="53" applyFont="1" applyFill="1" applyBorder="1" applyAlignment="1">
      <alignment vertical="center" wrapText="1"/>
      <protection/>
    </xf>
    <xf numFmtId="49" fontId="15" fillId="36" borderId="11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wrapText="1"/>
      <protection/>
    </xf>
    <xf numFmtId="49" fontId="13" fillId="0" borderId="11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vertical="top" wrapText="1"/>
      <protection/>
    </xf>
    <xf numFmtId="0" fontId="13" fillId="0" borderId="11" xfId="53" applyFont="1" applyFill="1" applyBorder="1" applyAlignment="1">
      <alignment horizontal="center" wrapText="1"/>
      <protection/>
    </xf>
    <xf numFmtId="49" fontId="13" fillId="0" borderId="11" xfId="53" applyNumberFormat="1" applyFont="1" applyFill="1" applyBorder="1" applyAlignment="1">
      <alignment horizontal="center" wrapText="1"/>
      <protection/>
    </xf>
    <xf numFmtId="174" fontId="13" fillId="0" borderId="0" xfId="53" applyNumberFormat="1" applyFont="1" applyAlignment="1">
      <alignment horizontal="right"/>
      <protection/>
    </xf>
    <xf numFmtId="0" fontId="15" fillId="36" borderId="0" xfId="53" applyFont="1" applyFill="1" applyBorder="1" applyAlignment="1">
      <alignment horizontal="center" vertical="top" wrapText="1"/>
      <protection/>
    </xf>
    <xf numFmtId="0" fontId="15" fillId="36" borderId="0" xfId="53" applyFont="1" applyFill="1">
      <alignment/>
      <protection/>
    </xf>
    <xf numFmtId="49" fontId="17" fillId="36" borderId="11" xfId="53" applyNumberFormat="1" applyFont="1" applyFill="1" applyBorder="1" applyAlignment="1">
      <alignment horizontal="center" vertical="center" wrapText="1"/>
      <protection/>
    </xf>
    <xf numFmtId="49" fontId="17" fillId="36" borderId="11" xfId="53" applyNumberFormat="1" applyFont="1" applyFill="1" applyBorder="1" applyAlignment="1">
      <alignment horizontal="center" wrapText="1"/>
      <protection/>
    </xf>
    <xf numFmtId="0" fontId="6" fillId="0" borderId="11" xfId="0" applyFont="1" applyBorder="1" applyAlignment="1">
      <alignment wrapText="1"/>
    </xf>
    <xf numFmtId="49" fontId="15" fillId="36" borderId="11" xfId="53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9" fontId="15" fillId="0" borderId="11" xfId="53" applyNumberFormat="1" applyFont="1" applyBorder="1" applyAlignment="1">
      <alignment horizontal="center" wrapText="1"/>
      <protection/>
    </xf>
    <xf numFmtId="0" fontId="13" fillId="36" borderId="11" xfId="53" applyFont="1" applyFill="1" applyBorder="1" applyAlignment="1">
      <alignment horizontal="center" vertical="center" wrapText="1"/>
      <protection/>
    </xf>
    <xf numFmtId="0" fontId="13" fillId="36" borderId="0" xfId="53" applyFont="1" applyFill="1" applyBorder="1" applyAlignment="1">
      <alignment horizontal="center" vertical="top" wrapText="1"/>
      <protection/>
    </xf>
    <xf numFmtId="0" fontId="13" fillId="36" borderId="0" xfId="53" applyFont="1" applyFill="1">
      <alignment/>
      <protection/>
    </xf>
    <xf numFmtId="0" fontId="8" fillId="0" borderId="12" xfId="0" applyFont="1" applyBorder="1" applyAlignment="1">
      <alignment wrapText="1"/>
    </xf>
    <xf numFmtId="0" fontId="7" fillId="0" borderId="0" xfId="53" applyFont="1" applyBorder="1" applyAlignment="1">
      <alignment wrapText="1"/>
      <protection/>
    </xf>
    <xf numFmtId="0" fontId="6" fillId="37" borderId="0" xfId="0" applyFont="1" applyFill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37" borderId="11" xfId="0" applyFont="1" applyFill="1" applyBorder="1" applyAlignment="1">
      <alignment wrapText="1"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8" fillId="38" borderId="11" xfId="0" applyFont="1" applyFill="1" applyBorder="1" applyAlignment="1" applyProtection="1">
      <alignment horizontal="left" vertical="top" wrapText="1"/>
      <protection/>
    </xf>
    <xf numFmtId="49" fontId="6" fillId="38" borderId="11" xfId="0" applyNumberFormat="1" applyFont="1" applyFill="1" applyBorder="1" applyAlignment="1" applyProtection="1">
      <alignment horizontal="center" vertical="center"/>
      <protection/>
    </xf>
    <xf numFmtId="0" fontId="6" fillId="39" borderId="11" xfId="0" applyFont="1" applyFill="1" applyBorder="1" applyAlignment="1" applyProtection="1">
      <alignment horizontal="left" vertical="top" wrapText="1"/>
      <protection/>
    </xf>
    <xf numFmtId="49" fontId="6" fillId="39" borderId="11" xfId="0" applyNumberFormat="1" applyFont="1" applyFill="1" applyBorder="1" applyAlignment="1" applyProtection="1">
      <alignment horizontal="center" vertical="center"/>
      <protection/>
    </xf>
    <xf numFmtId="0" fontId="6" fillId="40" borderId="11" xfId="0" applyFont="1" applyFill="1" applyBorder="1" applyAlignment="1" applyProtection="1">
      <alignment horizontal="left" vertical="top" wrapText="1"/>
      <protection/>
    </xf>
    <xf numFmtId="49" fontId="6" fillId="40" borderId="11" xfId="0" applyNumberFormat="1" applyFont="1" applyFill="1" applyBorder="1" applyAlignment="1" applyProtection="1">
      <alignment horizontal="center" vertical="center"/>
      <protection/>
    </xf>
    <xf numFmtId="0" fontId="6" fillId="41" borderId="11" xfId="0" applyFont="1" applyFill="1" applyBorder="1" applyAlignment="1" applyProtection="1">
      <alignment horizontal="left" vertical="top" wrapText="1"/>
      <protection/>
    </xf>
    <xf numFmtId="49" fontId="6" fillId="41" borderId="11" xfId="0" applyNumberFormat="1" applyFont="1" applyFill="1" applyBorder="1" applyAlignment="1" applyProtection="1">
      <alignment horizontal="center" vertical="center"/>
      <protection/>
    </xf>
    <xf numFmtId="49" fontId="6" fillId="42" borderId="11" xfId="0" applyNumberFormat="1" applyFont="1" applyFill="1" applyBorder="1" applyAlignment="1" applyProtection="1">
      <alignment horizontal="center" vertical="center"/>
      <protection/>
    </xf>
    <xf numFmtId="0" fontId="6" fillId="43" borderId="11" xfId="0" applyFont="1" applyFill="1" applyBorder="1" applyAlignment="1" applyProtection="1">
      <alignment horizontal="left" vertical="top" wrapText="1"/>
      <protection/>
    </xf>
    <xf numFmtId="49" fontId="6" fillId="43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 applyProtection="1">
      <alignment horizontal="center" vertical="center"/>
      <protection/>
    </xf>
    <xf numFmtId="49" fontId="6" fillId="40" borderId="11" xfId="0" applyNumberFormat="1" applyFont="1" applyFill="1" applyBorder="1" applyAlignment="1">
      <alignment horizontal="left" vertical="center" wrapText="1"/>
    </xf>
    <xf numFmtId="49" fontId="6" fillId="44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9" borderId="11" xfId="0" applyNumberFormat="1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wrapText="1"/>
    </xf>
    <xf numFmtId="49" fontId="6" fillId="46" borderId="11" xfId="0" applyNumberFormat="1" applyFont="1" applyFill="1" applyBorder="1" applyAlignment="1" applyProtection="1">
      <alignment horizontal="center" vertical="center"/>
      <protection/>
    </xf>
    <xf numFmtId="49" fontId="6" fillId="46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47" borderId="11" xfId="0" applyFont="1" applyFill="1" applyBorder="1" applyAlignment="1" applyProtection="1">
      <alignment horizontal="left" vertical="top" wrapText="1"/>
      <protection/>
    </xf>
    <xf numFmtId="49" fontId="6" fillId="47" borderId="11" xfId="0" applyNumberFormat="1" applyFont="1" applyFill="1" applyBorder="1" applyAlignment="1" applyProtection="1">
      <alignment horizontal="center" vertical="center"/>
      <protection/>
    </xf>
    <xf numFmtId="49" fontId="6" fillId="44" borderId="11" xfId="0" applyNumberFormat="1" applyFont="1" applyFill="1" applyBorder="1" applyAlignment="1" applyProtection="1">
      <alignment horizontal="center" vertical="center"/>
      <protection/>
    </xf>
    <xf numFmtId="49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 applyProtection="1">
      <alignment horizontal="left" vertical="top" wrapText="1"/>
      <protection/>
    </xf>
    <xf numFmtId="0" fontId="6" fillId="48" borderId="11" xfId="0" applyFont="1" applyFill="1" applyBorder="1" applyAlignment="1" applyProtection="1">
      <alignment horizontal="left" vertical="top" wrapText="1"/>
      <protection/>
    </xf>
    <xf numFmtId="49" fontId="6" fillId="48" borderId="11" xfId="0" applyNumberFormat="1" applyFont="1" applyFill="1" applyBorder="1" applyAlignment="1" applyProtection="1">
      <alignment horizontal="center" vertical="center"/>
      <protection/>
    </xf>
    <xf numFmtId="49" fontId="6" fillId="39" borderId="11" xfId="0" applyNumberFormat="1" applyFont="1" applyFill="1" applyBorder="1" applyAlignment="1" applyProtection="1">
      <alignment horizontal="center" vertical="center"/>
      <protection locked="0"/>
    </xf>
    <xf numFmtId="49" fontId="6" fillId="49" borderId="11" xfId="0" applyNumberFormat="1" applyFont="1" applyFill="1" applyBorder="1" applyAlignment="1">
      <alignment horizontal="left" vertical="center" wrapText="1"/>
    </xf>
    <xf numFmtId="49" fontId="6" fillId="49" borderId="11" xfId="0" applyNumberFormat="1" applyFont="1" applyFill="1" applyBorder="1" applyAlignment="1" applyProtection="1">
      <alignment horizontal="center" vertical="center"/>
      <protection/>
    </xf>
    <xf numFmtId="49" fontId="6" fillId="49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40" borderId="11" xfId="0" applyNumberFormat="1" applyFont="1" applyFill="1" applyBorder="1" applyAlignment="1" applyProtection="1">
      <alignment horizontal="center" vertical="center"/>
      <protection locked="0"/>
    </xf>
    <xf numFmtId="49" fontId="6" fillId="47" borderId="11" xfId="0" applyNumberFormat="1" applyFont="1" applyFill="1" applyBorder="1" applyAlignment="1">
      <alignment horizontal="left" vertical="center" wrapText="1"/>
    </xf>
    <xf numFmtId="49" fontId="6" fillId="47" borderId="11" xfId="0" applyNumberFormat="1" applyFont="1" applyFill="1" applyBorder="1" applyAlignment="1" applyProtection="1">
      <alignment horizontal="center" vertical="center"/>
      <protection locked="0"/>
    </xf>
    <xf numFmtId="0" fontId="6" fillId="49" borderId="11" xfId="0" applyFont="1" applyFill="1" applyBorder="1" applyAlignment="1">
      <alignment wrapText="1"/>
    </xf>
    <xf numFmtId="49" fontId="6" fillId="49" borderId="11" xfId="0" applyNumberFormat="1" applyFont="1" applyFill="1" applyBorder="1" applyAlignment="1">
      <alignment horizontal="center" vertical="center"/>
    </xf>
    <xf numFmtId="0" fontId="6" fillId="50" borderId="11" xfId="0" applyFont="1" applyFill="1" applyBorder="1" applyAlignment="1">
      <alignment wrapText="1"/>
    </xf>
    <xf numFmtId="49" fontId="6" fillId="5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6" fillId="39" borderId="11" xfId="0" applyFont="1" applyFill="1" applyBorder="1" applyAlignment="1" applyProtection="1">
      <alignment horizontal="center" vertical="center" wrapText="1"/>
      <protection/>
    </xf>
    <xf numFmtId="0" fontId="6" fillId="4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49" borderId="11" xfId="0" applyFont="1" applyFill="1" applyBorder="1" applyAlignment="1" applyProtection="1">
      <alignment horizontal="left" vertical="top" wrapText="1"/>
      <protection/>
    </xf>
    <xf numFmtId="0" fontId="6" fillId="49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4" borderId="11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46" borderId="11" xfId="0" applyFont="1" applyFill="1" applyBorder="1" applyAlignment="1" applyProtection="1">
      <alignment horizontal="center" vertical="center" wrapText="1"/>
      <protection/>
    </xf>
    <xf numFmtId="0" fontId="6" fillId="44" borderId="11" xfId="0" applyFont="1" applyFill="1" applyBorder="1" applyAlignment="1" applyProtection="1">
      <alignment horizontal="center" vertical="center" wrapText="1"/>
      <protection/>
    </xf>
    <xf numFmtId="49" fontId="6" fillId="44" borderId="11" xfId="0" applyNumberFormat="1" applyFont="1" applyFill="1" applyBorder="1" applyAlignment="1">
      <alignment horizontal="center" vertical="center"/>
    </xf>
    <xf numFmtId="0" fontId="6" fillId="51" borderId="11" xfId="0" applyFont="1" applyFill="1" applyBorder="1" applyAlignment="1" applyProtection="1">
      <alignment horizontal="center" vertical="center" wrapText="1"/>
      <protection/>
    </xf>
    <xf numFmtId="0" fontId="6" fillId="52" borderId="11" xfId="0" applyFont="1" applyFill="1" applyBorder="1" applyAlignment="1" applyProtection="1">
      <alignment horizontal="center" vertical="center" wrapText="1"/>
      <protection/>
    </xf>
    <xf numFmtId="0" fontId="6" fillId="45" borderId="11" xfId="0" applyFont="1" applyFill="1" applyBorder="1" applyAlignment="1" applyProtection="1">
      <alignment horizontal="center" vertical="center" wrapText="1"/>
      <protection/>
    </xf>
    <xf numFmtId="0" fontId="6" fillId="53" borderId="11" xfId="0" applyFont="1" applyFill="1" applyBorder="1" applyAlignment="1" applyProtection="1">
      <alignment horizontal="center" vertical="center" wrapText="1"/>
      <protection/>
    </xf>
    <xf numFmtId="49" fontId="6" fillId="49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6" fillId="47" borderId="11" xfId="0" applyNumberFormat="1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 applyProtection="1">
      <alignment horizontal="center" vertical="center" wrapText="1"/>
      <protection/>
    </xf>
    <xf numFmtId="0" fontId="7" fillId="36" borderId="11" xfId="53" applyFont="1" applyFill="1" applyBorder="1" applyAlignment="1">
      <alignment vertical="center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wrapText="1"/>
    </xf>
    <xf numFmtId="173" fontId="6" fillId="37" borderId="0" xfId="0" applyNumberFormat="1" applyFont="1" applyFill="1" applyAlignment="1">
      <alignment/>
    </xf>
    <xf numFmtId="0" fontId="6" fillId="0" borderId="11" xfId="0" applyFont="1" applyBorder="1" applyAlignment="1">
      <alignment vertical="center" wrapText="1"/>
    </xf>
    <xf numFmtId="49" fontId="6" fillId="54" borderId="11" xfId="0" applyNumberFormat="1" applyFont="1" applyFill="1" applyBorder="1" applyAlignment="1" applyProtection="1">
      <alignment horizontal="center" vertical="center"/>
      <protection/>
    </xf>
    <xf numFmtId="0" fontId="6" fillId="40" borderId="11" xfId="0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>
      <alignment vertical="center"/>
    </xf>
    <xf numFmtId="0" fontId="7" fillId="37" borderId="11" xfId="53" applyFont="1" applyFill="1" applyBorder="1" applyAlignment="1">
      <alignment vertical="center" wrapText="1"/>
      <protection/>
    </xf>
    <xf numFmtId="0" fontId="7" fillId="37" borderId="0" xfId="53" applyFont="1" applyFill="1" applyBorder="1" applyAlignment="1">
      <alignment wrapText="1"/>
      <protection/>
    </xf>
    <xf numFmtId="0" fontId="6" fillId="37" borderId="13" xfId="0" applyFont="1" applyFill="1" applyBorder="1" applyAlignment="1" applyProtection="1">
      <alignment horizontal="left" vertical="top" wrapText="1"/>
      <protection/>
    </xf>
    <xf numFmtId="0" fontId="8" fillId="37" borderId="12" xfId="0" applyFont="1" applyFill="1" applyBorder="1" applyAlignment="1">
      <alignment wrapText="1"/>
    </xf>
    <xf numFmtId="0" fontId="6" fillId="44" borderId="11" xfId="0" applyFont="1" applyFill="1" applyBorder="1" applyAlignment="1" applyProtection="1">
      <alignment horizontal="left" vertical="top" wrapText="1"/>
      <protection/>
    </xf>
    <xf numFmtId="0" fontId="6" fillId="37" borderId="10" xfId="0" applyFont="1" applyFill="1" applyBorder="1" applyAlignment="1" applyProtection="1">
      <alignment horizontal="left" vertical="top" wrapText="1"/>
      <protection/>
    </xf>
    <xf numFmtId="4" fontId="8" fillId="38" borderId="11" xfId="0" applyNumberFormat="1" applyFont="1" applyFill="1" applyBorder="1" applyAlignment="1" applyProtection="1">
      <alignment vertical="center"/>
      <protection/>
    </xf>
    <xf numFmtId="4" fontId="6" fillId="39" borderId="11" xfId="0" applyNumberFormat="1" applyFont="1" applyFill="1" applyBorder="1" applyAlignment="1" applyProtection="1">
      <alignment vertical="center"/>
      <protection/>
    </xf>
    <xf numFmtId="4" fontId="6" fillId="40" borderId="11" xfId="0" applyNumberFormat="1" applyFont="1" applyFill="1" applyBorder="1" applyAlignment="1" applyProtection="1">
      <alignment vertical="center"/>
      <protection/>
    </xf>
    <xf numFmtId="4" fontId="6" fillId="37" borderId="11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37" borderId="11" xfId="0" applyNumberFormat="1" applyFont="1" applyFill="1" applyBorder="1" applyAlignment="1" applyProtection="1">
      <alignment vertical="center"/>
      <protection locked="0"/>
    </xf>
    <xf numFmtId="4" fontId="6" fillId="37" borderId="11" xfId="0" applyNumberFormat="1" applyFont="1" applyFill="1" applyBorder="1" applyAlignment="1">
      <alignment vertical="center"/>
    </xf>
    <xf numFmtId="4" fontId="6" fillId="49" borderId="11" xfId="0" applyNumberFormat="1" applyFont="1" applyFill="1" applyBorder="1" applyAlignment="1" applyProtection="1">
      <alignment vertical="center"/>
      <protection locked="0"/>
    </xf>
    <xf numFmtId="4" fontId="6" fillId="54" borderId="11" xfId="0" applyNumberFormat="1" applyFont="1" applyFill="1" applyBorder="1" applyAlignment="1" applyProtection="1">
      <alignment vertical="center"/>
      <protection locked="0"/>
    </xf>
    <xf numFmtId="4" fontId="6" fillId="40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 locked="0"/>
    </xf>
    <xf numFmtId="4" fontId="6" fillId="39" borderId="11" xfId="0" applyNumberFormat="1" applyFont="1" applyFill="1" applyBorder="1" applyAlignment="1" applyProtection="1">
      <alignment vertical="center"/>
      <protection locked="0"/>
    </xf>
    <xf numFmtId="4" fontId="6" fillId="44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46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33" borderId="11" xfId="0" applyNumberFormat="1" applyFont="1" applyFill="1" applyBorder="1" applyAlignment="1" applyProtection="1">
      <alignment vertical="center"/>
      <protection/>
    </xf>
    <xf numFmtId="4" fontId="6" fillId="47" borderId="11" xfId="0" applyNumberFormat="1" applyFont="1" applyFill="1" applyBorder="1" applyAlignment="1" applyProtection="1">
      <alignment vertical="center"/>
      <protection locked="0"/>
    </xf>
    <xf numFmtId="4" fontId="6" fillId="48" borderId="11" xfId="0" applyNumberFormat="1" applyFont="1" applyFill="1" applyBorder="1" applyAlignment="1" applyProtection="1">
      <alignment vertical="center"/>
      <protection locked="0"/>
    </xf>
    <xf numFmtId="4" fontId="6" fillId="49" borderId="11" xfId="0" applyNumberFormat="1" applyFont="1" applyFill="1" applyBorder="1" applyAlignment="1">
      <alignment vertical="center"/>
    </xf>
    <xf numFmtId="4" fontId="6" fillId="50" borderId="11" xfId="0" applyNumberFormat="1" applyFont="1" applyFill="1" applyBorder="1" applyAlignment="1">
      <alignment vertical="center"/>
    </xf>
    <xf numFmtId="4" fontId="6" fillId="49" borderId="11" xfId="0" applyNumberFormat="1" applyFont="1" applyFill="1" applyBorder="1" applyAlignment="1" applyProtection="1">
      <alignment vertical="center"/>
      <protection/>
    </xf>
    <xf numFmtId="4" fontId="6" fillId="42" borderId="11" xfId="0" applyNumberFormat="1" applyFont="1" applyFill="1" applyBorder="1" applyAlignment="1" applyProtection="1">
      <alignment vertical="center"/>
      <protection/>
    </xf>
    <xf numFmtId="4" fontId="6" fillId="41" borderId="11" xfId="0" applyNumberFormat="1" applyFont="1" applyFill="1" applyBorder="1" applyAlignment="1" applyProtection="1">
      <alignment vertical="center"/>
      <protection/>
    </xf>
    <xf numFmtId="4" fontId="6" fillId="43" borderId="11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4" fontId="15" fillId="35" borderId="11" xfId="53" applyNumberFormat="1" applyFont="1" applyFill="1" applyBorder="1" applyAlignment="1">
      <alignment horizontal="right" vertical="center"/>
      <protection/>
    </xf>
    <xf numFmtId="4" fontId="16" fillId="0" borderId="11" xfId="53" applyNumberFormat="1" applyFont="1" applyBorder="1" applyAlignment="1">
      <alignment horizontal="right" wrapText="1"/>
      <protection/>
    </xf>
    <xf numFmtId="4" fontId="15" fillId="0" borderId="11" xfId="53" applyNumberFormat="1" applyFont="1" applyFill="1" applyBorder="1" applyAlignment="1">
      <alignment horizontal="right" vertical="center" wrapText="1"/>
      <protection/>
    </xf>
    <xf numFmtId="4" fontId="17" fillId="0" borderId="11" xfId="53" applyNumberFormat="1" applyFont="1" applyFill="1" applyBorder="1" applyAlignment="1">
      <alignment horizontal="right" vertical="center" wrapText="1"/>
      <protection/>
    </xf>
    <xf numFmtId="4" fontId="15" fillId="36" borderId="11" xfId="53" applyNumberFormat="1" applyFont="1" applyFill="1" applyBorder="1" applyAlignment="1">
      <alignment horizontal="right" vertical="center" wrapText="1"/>
      <protection/>
    </xf>
    <xf numFmtId="4" fontId="17" fillId="36" borderId="11" xfId="53" applyNumberFormat="1" applyFont="1" applyFill="1" applyBorder="1" applyAlignment="1">
      <alignment horizontal="right" vertical="center" wrapText="1"/>
      <protection/>
    </xf>
    <xf numFmtId="4" fontId="13" fillId="0" borderId="11" xfId="53" applyNumberFormat="1" applyFont="1" applyBorder="1" applyAlignment="1">
      <alignment horizontal="right" wrapText="1"/>
      <protection/>
    </xf>
    <xf numFmtId="4" fontId="13" fillId="37" borderId="11" xfId="53" applyNumberFormat="1" applyFont="1" applyFill="1" applyBorder="1" applyAlignment="1">
      <alignment horizontal="right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5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>
      <alignment horizontal="right" vertical="center"/>
    </xf>
    <xf numFmtId="4" fontId="6" fillId="44" borderId="11" xfId="0" applyNumberFormat="1" applyFont="1" applyFill="1" applyBorder="1" applyAlignment="1" applyProtection="1">
      <alignment vertical="center"/>
      <protection/>
    </xf>
    <xf numFmtId="4" fontId="13" fillId="0" borderId="11" xfId="53" applyNumberFormat="1" applyFont="1" applyBorder="1" applyAlignment="1">
      <alignment horizontal="right" vertical="center"/>
      <protection/>
    </xf>
    <xf numFmtId="4" fontId="15" fillId="0" borderId="11" xfId="53" applyNumberFormat="1" applyFont="1" applyBorder="1" applyAlignment="1">
      <alignment horizontal="right" vertical="center"/>
      <protection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9" fontId="15" fillId="0" borderId="14" xfId="53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3" fillId="0" borderId="11" xfId="53" applyFont="1" applyBorder="1" applyAlignment="1">
      <alignment wrapText="1"/>
      <protection/>
    </xf>
    <xf numFmtId="0" fontId="3" fillId="0" borderId="0" xfId="0" applyFont="1" applyBorder="1" applyAlignment="1">
      <alignment horizontal="center" wrapText="1"/>
    </xf>
    <xf numFmtId="49" fontId="10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18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4" fontId="19" fillId="33" borderId="11" xfId="0" applyNumberFormat="1" applyFont="1" applyFill="1" applyBorder="1" applyAlignment="1">
      <alignment vertical="center"/>
    </xf>
    <xf numFmtId="49" fontId="4" fillId="55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4" fillId="44" borderId="11" xfId="0" applyNumberFormat="1" applyFont="1" applyFill="1" applyBorder="1" applyAlignment="1">
      <alignment horizontal="left" vertical="center" wrapText="1"/>
    </xf>
    <xf numFmtId="4" fontId="2" fillId="44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55" borderId="11" xfId="0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49" fontId="19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 wrapText="1"/>
    </xf>
    <xf numFmtId="49" fontId="4" fillId="56" borderId="11" xfId="0" applyNumberFormat="1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justify" vertical="center" wrapText="1"/>
    </xf>
    <xf numFmtId="17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172" fontId="9" fillId="0" borderId="0" xfId="62" applyFont="1" applyFill="1" applyBorder="1" applyAlignment="1" applyProtection="1">
      <alignment/>
      <protection/>
    </xf>
    <xf numFmtId="173" fontId="6" fillId="0" borderId="0" xfId="0" applyNumberFormat="1" applyFont="1" applyBorder="1" applyAlignment="1">
      <alignment horizontal="left" wrapText="1"/>
    </xf>
    <xf numFmtId="173" fontId="8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173" fontId="19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left" vertical="top" wrapText="1" indent="2"/>
    </xf>
    <xf numFmtId="173" fontId="2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173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 wrapText="1"/>
    </xf>
    <xf numFmtId="49" fontId="10" fillId="33" borderId="0" xfId="0" applyNumberFormat="1" applyFont="1" applyFill="1" applyBorder="1" applyAlignment="1">
      <alignment horizontal="right" vertical="top"/>
    </xf>
    <xf numFmtId="49" fontId="10" fillId="33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173" fontId="10" fillId="0" borderId="0" xfId="0" applyNumberFormat="1" applyFont="1" applyBorder="1" applyAlignment="1">
      <alignment horizontal="right"/>
    </xf>
    <xf numFmtId="0" fontId="13" fillId="0" borderId="0" xfId="53" applyFont="1" applyAlignment="1">
      <alignment horizontal="right"/>
      <protection/>
    </xf>
    <xf numFmtId="0" fontId="13" fillId="0" borderId="0" xfId="53" applyFont="1" applyAlignment="1">
      <alignment horizontal="right" wrapText="1"/>
      <protection/>
    </xf>
    <xf numFmtId="0" fontId="15" fillId="0" borderId="0" xfId="53" applyFont="1" applyAlignment="1">
      <alignment horizontal="center" wrapText="1"/>
      <protection/>
    </xf>
    <xf numFmtId="49" fontId="13" fillId="0" borderId="0" xfId="53" applyNumberFormat="1" applyFont="1" applyAlignment="1">
      <alignment horizontal="right"/>
      <protection/>
    </xf>
    <xf numFmtId="173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="60" zoomScalePageLayoutView="0" workbookViewId="0" topLeftCell="A1">
      <selection activeCell="A10" sqref="A10:C10"/>
    </sheetView>
  </sheetViews>
  <sheetFormatPr defaultColWidth="9.00390625" defaultRowHeight="12.75"/>
  <cols>
    <col min="1" max="1" width="21.875" style="0" customWidth="1"/>
    <col min="2" max="2" width="50.125" style="0" customWidth="1"/>
    <col min="3" max="3" width="16.875" style="0" customWidth="1"/>
  </cols>
  <sheetData>
    <row r="1" spans="1:3" ht="13.5">
      <c r="A1" s="303" t="s">
        <v>235</v>
      </c>
      <c r="B1" s="303"/>
      <c r="C1" s="303"/>
    </row>
    <row r="2" spans="1:3" ht="13.5">
      <c r="A2" s="303" t="s">
        <v>364</v>
      </c>
      <c r="B2" s="303"/>
      <c r="C2" s="303"/>
    </row>
    <row r="3" spans="1:3" ht="13.5">
      <c r="A3" s="303" t="s">
        <v>362</v>
      </c>
      <c r="B3" s="303"/>
      <c r="C3" s="303"/>
    </row>
    <row r="4" spans="1:3" ht="13.5">
      <c r="A4" s="303" t="s">
        <v>244</v>
      </c>
      <c r="B4" s="303"/>
      <c r="C4" s="303"/>
    </row>
    <row r="5" spans="1:3" ht="13.5">
      <c r="A5" s="238"/>
      <c r="B5" s="300" t="s">
        <v>236</v>
      </c>
      <c r="C5" s="300"/>
    </row>
    <row r="6" spans="1:3" ht="13.5">
      <c r="A6" s="238"/>
      <c r="B6" s="300" t="s">
        <v>237</v>
      </c>
      <c r="C6" s="300"/>
    </row>
    <row r="7" spans="1:3" ht="13.5">
      <c r="A7" s="238"/>
      <c r="B7" s="300" t="s">
        <v>238</v>
      </c>
      <c r="C7" s="300"/>
    </row>
    <row r="8" spans="1:3" ht="13.5">
      <c r="A8" s="238"/>
      <c r="B8" s="301" t="s">
        <v>239</v>
      </c>
      <c r="C8" s="301"/>
    </row>
    <row r="9" spans="1:3" ht="15">
      <c r="A9" s="239"/>
      <c r="B9" s="1"/>
      <c r="C9" s="1"/>
    </row>
    <row r="10" spans="1:3" ht="15.75">
      <c r="A10" s="302" t="s">
        <v>245</v>
      </c>
      <c r="B10" s="302"/>
      <c r="C10" s="302"/>
    </row>
    <row r="11" spans="1:3" ht="18.75">
      <c r="A11" s="239"/>
      <c r="B11" s="240"/>
      <c r="C11" s="241" t="s">
        <v>246</v>
      </c>
    </row>
    <row r="12" spans="1:3" ht="30">
      <c r="A12" s="242" t="s">
        <v>247</v>
      </c>
      <c r="B12" s="243" t="s">
        <v>248</v>
      </c>
      <c r="C12" s="244" t="s">
        <v>58</v>
      </c>
    </row>
    <row r="13" spans="1:3" ht="15">
      <c r="A13" s="245">
        <v>1</v>
      </c>
      <c r="B13" s="246">
        <v>2</v>
      </c>
      <c r="C13" s="247">
        <v>3</v>
      </c>
    </row>
    <row r="14" spans="1:3" ht="14.25">
      <c r="A14" s="248" t="s">
        <v>249</v>
      </c>
      <c r="B14" s="249" t="s">
        <v>250</v>
      </c>
      <c r="C14" s="250">
        <f>C15+C17+C19+C22+C24+C27+C29+C31</f>
        <v>137194032</v>
      </c>
    </row>
    <row r="15" spans="1:3" ht="15">
      <c r="A15" s="251" t="s">
        <v>251</v>
      </c>
      <c r="B15" s="252" t="s">
        <v>252</v>
      </c>
      <c r="C15" s="253">
        <f>C16</f>
        <v>7600000</v>
      </c>
    </row>
    <row r="16" spans="1:3" ht="15">
      <c r="A16" s="254" t="s">
        <v>253</v>
      </c>
      <c r="B16" s="255" t="s">
        <v>254</v>
      </c>
      <c r="C16" s="253">
        <f>7200000+400000</f>
        <v>7600000</v>
      </c>
    </row>
    <row r="17" spans="1:3" ht="15">
      <c r="A17" s="251" t="s">
        <v>255</v>
      </c>
      <c r="B17" s="252" t="s">
        <v>256</v>
      </c>
      <c r="C17" s="253">
        <f>SUM(C18:C18)</f>
        <v>3600</v>
      </c>
    </row>
    <row r="18" spans="1:3" ht="15">
      <c r="A18" s="256" t="s">
        <v>257</v>
      </c>
      <c r="B18" s="255" t="s">
        <v>258</v>
      </c>
      <c r="C18" s="253">
        <v>3600</v>
      </c>
    </row>
    <row r="19" spans="1:3" ht="15">
      <c r="A19" s="251" t="s">
        <v>259</v>
      </c>
      <c r="B19" s="252" t="s">
        <v>260</v>
      </c>
      <c r="C19" s="253">
        <f>SUM(C20:C21)</f>
        <v>124865000</v>
      </c>
    </row>
    <row r="20" spans="1:3" ht="15">
      <c r="A20" s="254" t="s">
        <v>261</v>
      </c>
      <c r="B20" s="255" t="s">
        <v>262</v>
      </c>
      <c r="C20" s="253">
        <f>5840000-600000</f>
        <v>5240000</v>
      </c>
    </row>
    <row r="21" spans="1:3" ht="15">
      <c r="A21" s="256" t="s">
        <v>263</v>
      </c>
      <c r="B21" s="255" t="s">
        <v>264</v>
      </c>
      <c r="C21" s="257">
        <f>126560000+8191600-600020-14526580</f>
        <v>119625000</v>
      </c>
    </row>
    <row r="22" spans="1:3" ht="38.25">
      <c r="A22" s="251" t="s">
        <v>265</v>
      </c>
      <c r="B22" s="255" t="s">
        <v>266</v>
      </c>
      <c r="C22" s="253">
        <f>C23</f>
        <v>8400</v>
      </c>
    </row>
    <row r="23" spans="1:3" ht="31.5" customHeight="1">
      <c r="A23" s="258" t="s">
        <v>267</v>
      </c>
      <c r="B23" s="259" t="s">
        <v>268</v>
      </c>
      <c r="C23" s="253">
        <v>8400</v>
      </c>
    </row>
    <row r="24" spans="1:3" ht="38.25">
      <c r="A24" s="251" t="s">
        <v>269</v>
      </c>
      <c r="B24" s="252" t="s">
        <v>270</v>
      </c>
      <c r="C24" s="253">
        <f>C25</f>
        <v>1275000</v>
      </c>
    </row>
    <row r="25" spans="1:3" ht="25.5">
      <c r="A25" s="254" t="s">
        <v>271</v>
      </c>
      <c r="B25" s="255" t="s">
        <v>272</v>
      </c>
      <c r="C25" s="253">
        <f>C26</f>
        <v>1275000</v>
      </c>
    </row>
    <row r="26" spans="1:3" ht="51">
      <c r="A26" s="254" t="s">
        <v>273</v>
      </c>
      <c r="B26" s="260" t="s">
        <v>274</v>
      </c>
      <c r="C26" s="253">
        <f>1500000-225000</f>
        <v>1275000</v>
      </c>
    </row>
    <row r="27" spans="1:3" ht="25.5">
      <c r="A27" s="251" t="s">
        <v>275</v>
      </c>
      <c r="B27" s="105" t="s">
        <v>276</v>
      </c>
      <c r="C27" s="253">
        <f>C28</f>
        <v>800000</v>
      </c>
    </row>
    <row r="28" spans="1:3" ht="25.5">
      <c r="A28" s="261" t="s">
        <v>277</v>
      </c>
      <c r="B28" s="260" t="s">
        <v>278</v>
      </c>
      <c r="C28" s="253">
        <f>1000000-200000</f>
        <v>800000</v>
      </c>
    </row>
    <row r="29" spans="1:3" ht="25.5">
      <c r="A29" s="262" t="s">
        <v>279</v>
      </c>
      <c r="B29" s="263" t="s">
        <v>280</v>
      </c>
      <c r="C29" s="253">
        <f>C30</f>
        <v>2542033</v>
      </c>
    </row>
    <row r="30" spans="1:3" ht="83.25" customHeight="1">
      <c r="A30" s="261" t="s">
        <v>281</v>
      </c>
      <c r="B30" s="260" t="s">
        <v>282</v>
      </c>
      <c r="C30" s="253">
        <f>22853133+600000-20911100</f>
        <v>2542033</v>
      </c>
    </row>
    <row r="31" spans="1:3" ht="15">
      <c r="A31" s="262" t="s">
        <v>283</v>
      </c>
      <c r="B31" s="263" t="s">
        <v>284</v>
      </c>
      <c r="C31" s="253">
        <f>C32</f>
        <v>99999</v>
      </c>
    </row>
    <row r="32" spans="1:3" ht="15">
      <c r="A32" s="264" t="s">
        <v>285</v>
      </c>
      <c r="B32" s="260" t="s">
        <v>286</v>
      </c>
      <c r="C32" s="253">
        <v>99999</v>
      </c>
    </row>
    <row r="33" spans="1:3" ht="17.25" customHeight="1">
      <c r="A33" s="248" t="s">
        <v>287</v>
      </c>
      <c r="B33" s="265" t="s">
        <v>288</v>
      </c>
      <c r="C33" s="253">
        <f>C34</f>
        <v>14803619.69</v>
      </c>
    </row>
    <row r="34" spans="1:3" ht="25.5">
      <c r="A34" s="251" t="s">
        <v>289</v>
      </c>
      <c r="B34" s="266" t="s">
        <v>290</v>
      </c>
      <c r="C34" s="253">
        <f>C35+C36+C37+C38+C39</f>
        <v>14803619.69</v>
      </c>
    </row>
    <row r="35" spans="1:3" ht="15">
      <c r="A35" s="267" t="s">
        <v>291</v>
      </c>
      <c r="B35" s="266" t="s">
        <v>292</v>
      </c>
      <c r="C35" s="253">
        <v>14250000</v>
      </c>
    </row>
    <row r="36" spans="1:3" ht="38.25">
      <c r="A36" s="268" t="s">
        <v>293</v>
      </c>
      <c r="B36" s="269" t="s">
        <v>294</v>
      </c>
      <c r="C36" s="253">
        <f>553000-20000</f>
        <v>533000</v>
      </c>
    </row>
    <row r="37" spans="1:3" ht="32.25" customHeight="1">
      <c r="A37" s="268" t="s">
        <v>354</v>
      </c>
      <c r="B37" s="269" t="s">
        <v>355</v>
      </c>
      <c r="C37" s="253">
        <f>20618.69</f>
        <v>20618.69</v>
      </c>
    </row>
    <row r="38" spans="1:3" ht="51">
      <c r="A38" s="268" t="s">
        <v>353</v>
      </c>
      <c r="B38" s="269" t="s">
        <v>352</v>
      </c>
      <c r="C38" s="253">
        <f>1</f>
        <v>1</v>
      </c>
    </row>
    <row r="39" spans="1:3" ht="51">
      <c r="A39" s="268" t="s">
        <v>295</v>
      </c>
      <c r="B39" s="269" t="s">
        <v>296</v>
      </c>
      <c r="C39" s="253">
        <f>1-1</f>
        <v>0</v>
      </c>
    </row>
    <row r="40" spans="1:3" ht="14.25">
      <c r="A40" s="254"/>
      <c r="B40" s="265" t="s">
        <v>297</v>
      </c>
      <c r="C40" s="250">
        <f>C14+C33</f>
        <v>151997651.69</v>
      </c>
    </row>
  </sheetData>
  <sheetProtection/>
  <mergeCells count="9">
    <mergeCell ref="B7:C7"/>
    <mergeCell ref="B8:C8"/>
    <mergeCell ref="A10:C10"/>
    <mergeCell ref="A1:C1"/>
    <mergeCell ref="A2:C2"/>
    <mergeCell ref="A3:C3"/>
    <mergeCell ref="A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view="pageBreakPreview" zoomScale="70" zoomScaleSheetLayoutView="70" zoomScalePageLayoutView="0" workbookViewId="0" topLeftCell="A1">
      <selection activeCell="N9" sqref="N9"/>
    </sheetView>
  </sheetViews>
  <sheetFormatPr defaultColWidth="9.00390625" defaultRowHeight="12.75"/>
  <cols>
    <col min="1" max="1" width="42.375" style="2" customWidth="1"/>
    <col min="2" max="2" width="8.125" style="15" customWidth="1"/>
    <col min="3" max="4" width="8.75390625" style="2" customWidth="1"/>
    <col min="5" max="5" width="12.75390625" style="2" customWidth="1"/>
    <col min="6" max="6" width="7.125" style="2" customWidth="1"/>
    <col min="7" max="7" width="15.25390625" style="3" customWidth="1"/>
    <col min="8" max="16384" width="9.125" style="2" customWidth="1"/>
  </cols>
  <sheetData>
    <row r="1" spans="1:7" ht="13.5">
      <c r="A1" s="305" t="s">
        <v>241</v>
      </c>
      <c r="B1" s="305"/>
      <c r="C1" s="305"/>
      <c r="D1" s="305"/>
      <c r="E1" s="305"/>
      <c r="F1" s="305"/>
      <c r="G1" s="305"/>
    </row>
    <row r="2" spans="1:7" ht="13.5">
      <c r="A2" s="305" t="s">
        <v>364</v>
      </c>
      <c r="B2" s="305"/>
      <c r="C2" s="305"/>
      <c r="D2" s="305"/>
      <c r="E2" s="305"/>
      <c r="F2" s="305"/>
      <c r="G2" s="305"/>
    </row>
    <row r="3" spans="1:7" ht="13.5">
      <c r="A3" s="305" t="s">
        <v>363</v>
      </c>
      <c r="B3" s="305"/>
      <c r="C3" s="305"/>
      <c r="D3" s="305"/>
      <c r="E3" s="305"/>
      <c r="F3" s="305"/>
      <c r="G3" s="305"/>
    </row>
    <row r="4" spans="1:7" ht="13.5" customHeight="1">
      <c r="A4" s="305" t="s">
        <v>15</v>
      </c>
      <c r="B4" s="305"/>
      <c r="C4" s="305"/>
      <c r="D4" s="305"/>
      <c r="E4" s="305"/>
      <c r="F4" s="305"/>
      <c r="G4" s="305"/>
    </row>
    <row r="5" spans="1:7" ht="13.5" customHeight="1">
      <c r="A5" s="305" t="s">
        <v>236</v>
      </c>
      <c r="B5" s="305"/>
      <c r="C5" s="305"/>
      <c r="D5" s="305"/>
      <c r="E5" s="305"/>
      <c r="F5" s="305"/>
      <c r="G5" s="305"/>
    </row>
    <row r="6" spans="1:7" ht="13.5" customHeight="1">
      <c r="A6" s="305" t="s">
        <v>237</v>
      </c>
      <c r="B6" s="305"/>
      <c r="C6" s="305"/>
      <c r="D6" s="305"/>
      <c r="E6" s="305"/>
      <c r="F6" s="305"/>
      <c r="G6" s="305"/>
    </row>
    <row r="7" spans="1:7" ht="13.5" customHeight="1">
      <c r="A7" s="301" t="s">
        <v>238</v>
      </c>
      <c r="B7" s="301"/>
      <c r="C7" s="301"/>
      <c r="D7" s="301"/>
      <c r="E7" s="301"/>
      <c r="F7" s="301"/>
      <c r="G7" s="301"/>
    </row>
    <row r="8" spans="1:7" ht="13.5" customHeight="1">
      <c r="A8" s="301" t="s">
        <v>239</v>
      </c>
      <c r="B8" s="301"/>
      <c r="C8" s="301"/>
      <c r="D8" s="301"/>
      <c r="E8" s="301"/>
      <c r="F8" s="301"/>
      <c r="G8" s="301"/>
    </row>
    <row r="9" spans="1:7" ht="15.75">
      <c r="A9" s="4"/>
      <c r="B9" s="12"/>
      <c r="C9" s="11"/>
      <c r="D9" s="11"/>
      <c r="F9" s="1"/>
      <c r="G9" s="1"/>
    </row>
    <row r="10" spans="1:7" ht="15.75">
      <c r="A10" s="304" t="s">
        <v>174</v>
      </c>
      <c r="B10" s="304"/>
      <c r="C10" s="304"/>
      <c r="D10" s="304"/>
      <c r="E10" s="304"/>
      <c r="F10" s="304"/>
      <c r="G10" s="304"/>
    </row>
    <row r="11" spans="1:4" ht="15.75" customHeight="1">
      <c r="A11" s="5"/>
      <c r="B11" s="13"/>
      <c r="C11" s="5"/>
      <c r="D11" s="5"/>
    </row>
    <row r="12" spans="1:7" ht="15.75">
      <c r="A12" s="6"/>
      <c r="B12" s="14"/>
      <c r="G12" s="7" t="s">
        <v>191</v>
      </c>
    </row>
    <row r="13" spans="1:7" ht="36.75" customHeight="1">
      <c r="A13" s="134"/>
      <c r="B13" s="134" t="s">
        <v>61</v>
      </c>
      <c r="C13" s="134" t="s">
        <v>62</v>
      </c>
      <c r="D13" s="134" t="s">
        <v>63</v>
      </c>
      <c r="E13" s="134" t="s">
        <v>64</v>
      </c>
      <c r="F13" s="134" t="s">
        <v>65</v>
      </c>
      <c r="G13" s="135" t="s">
        <v>58</v>
      </c>
    </row>
    <row r="14" spans="1:7" ht="25.5">
      <c r="A14" s="90" t="s">
        <v>41</v>
      </c>
      <c r="B14" s="136">
        <v>940</v>
      </c>
      <c r="C14" s="91"/>
      <c r="D14" s="91"/>
      <c r="E14" s="91"/>
      <c r="F14" s="91"/>
      <c r="G14" s="179">
        <f>G15+G62+G69+G79+G95+G127+G167+G173+G197</f>
        <v>150402409.34000003</v>
      </c>
    </row>
    <row r="15" spans="1:7" ht="12.75">
      <c r="A15" s="92" t="s">
        <v>66</v>
      </c>
      <c r="B15" s="137">
        <v>940</v>
      </c>
      <c r="C15" s="93" t="s">
        <v>67</v>
      </c>
      <c r="D15" s="93"/>
      <c r="E15" s="93"/>
      <c r="F15" s="93"/>
      <c r="G15" s="180">
        <f>G16+G23+G37+G42</f>
        <v>24520804.02</v>
      </c>
    </row>
    <row r="16" spans="1:7" ht="25.5">
      <c r="A16" s="94" t="s">
        <v>68</v>
      </c>
      <c r="B16" s="138">
        <v>940</v>
      </c>
      <c r="C16" s="95" t="s">
        <v>67</v>
      </c>
      <c r="D16" s="95" t="s">
        <v>69</v>
      </c>
      <c r="E16" s="95"/>
      <c r="F16" s="95"/>
      <c r="G16" s="181">
        <f>G17</f>
        <v>1134787.16</v>
      </c>
    </row>
    <row r="17" spans="1:7" ht="25.5">
      <c r="A17" s="81" t="s">
        <v>111</v>
      </c>
      <c r="B17" s="139">
        <v>940</v>
      </c>
      <c r="C17" s="83" t="s">
        <v>67</v>
      </c>
      <c r="D17" s="83" t="s">
        <v>69</v>
      </c>
      <c r="E17" s="83" t="s">
        <v>109</v>
      </c>
      <c r="F17" s="83"/>
      <c r="G17" s="182">
        <f>G18</f>
        <v>1134787.16</v>
      </c>
    </row>
    <row r="18" spans="1:7" ht="12.75">
      <c r="A18" s="81" t="s">
        <v>27</v>
      </c>
      <c r="B18" s="139">
        <v>940</v>
      </c>
      <c r="C18" s="83" t="s">
        <v>67</v>
      </c>
      <c r="D18" s="83" t="s">
        <v>69</v>
      </c>
      <c r="E18" s="83" t="s">
        <v>110</v>
      </c>
      <c r="F18" s="83"/>
      <c r="G18" s="182">
        <f>G19</f>
        <v>1134787.16</v>
      </c>
    </row>
    <row r="19" spans="1:7" ht="25.5">
      <c r="A19" s="81" t="s">
        <v>17</v>
      </c>
      <c r="B19" s="139">
        <v>940</v>
      </c>
      <c r="C19" s="83" t="s">
        <v>67</v>
      </c>
      <c r="D19" s="83" t="s">
        <v>69</v>
      </c>
      <c r="E19" s="83" t="s">
        <v>110</v>
      </c>
      <c r="F19" s="83" t="s">
        <v>18</v>
      </c>
      <c r="G19" s="182">
        <f>G20+G21+G22</f>
        <v>1134787.16</v>
      </c>
    </row>
    <row r="20" spans="1:7" ht="25.5">
      <c r="A20" s="81" t="s">
        <v>209</v>
      </c>
      <c r="B20" s="139">
        <v>940</v>
      </c>
      <c r="C20" s="83" t="s">
        <v>67</v>
      </c>
      <c r="D20" s="83" t="s">
        <v>69</v>
      </c>
      <c r="E20" s="83" t="s">
        <v>110</v>
      </c>
      <c r="F20" s="83" t="s">
        <v>31</v>
      </c>
      <c r="G20" s="182">
        <f>1520030+439100-217948.75-841474.55</f>
        <v>899706.7</v>
      </c>
    </row>
    <row r="21" spans="1:7" ht="38.25">
      <c r="A21" s="81" t="s">
        <v>210</v>
      </c>
      <c r="B21" s="139">
        <v>940</v>
      </c>
      <c r="C21" s="83" t="s">
        <v>67</v>
      </c>
      <c r="D21" s="83" t="s">
        <v>69</v>
      </c>
      <c r="E21" s="83" t="s">
        <v>110</v>
      </c>
      <c r="F21" s="83" t="s">
        <v>32</v>
      </c>
      <c r="G21" s="182">
        <f>92620-92620</f>
        <v>0</v>
      </c>
    </row>
    <row r="22" spans="1:7" ht="51">
      <c r="A22" s="81" t="s">
        <v>211</v>
      </c>
      <c r="B22" s="139">
        <v>940</v>
      </c>
      <c r="C22" s="83" t="s">
        <v>67</v>
      </c>
      <c r="D22" s="83" t="s">
        <v>69</v>
      </c>
      <c r="E22" s="83" t="s">
        <v>110</v>
      </c>
      <c r="F22" s="83" t="s">
        <v>177</v>
      </c>
      <c r="G22" s="182">
        <f>459050-223969.54</f>
        <v>235080.46</v>
      </c>
    </row>
    <row r="23" spans="1:7" ht="38.25">
      <c r="A23" s="94" t="s">
        <v>72</v>
      </c>
      <c r="B23" s="138">
        <v>940</v>
      </c>
      <c r="C23" s="95" t="s">
        <v>67</v>
      </c>
      <c r="D23" s="95" t="s">
        <v>73</v>
      </c>
      <c r="E23" s="95"/>
      <c r="F23" s="95"/>
      <c r="G23" s="181">
        <f>G24</f>
        <v>18919106.5</v>
      </c>
    </row>
    <row r="24" spans="1:7" ht="25.5">
      <c r="A24" s="81" t="s">
        <v>111</v>
      </c>
      <c r="B24" s="139">
        <v>940</v>
      </c>
      <c r="C24" s="83" t="s">
        <v>67</v>
      </c>
      <c r="D24" s="83" t="s">
        <v>73</v>
      </c>
      <c r="E24" s="83" t="s">
        <v>109</v>
      </c>
      <c r="F24" s="83"/>
      <c r="G24" s="183">
        <f>G25</f>
        <v>18919106.5</v>
      </c>
    </row>
    <row r="25" spans="1:7" ht="12.75">
      <c r="A25" s="81" t="s">
        <v>27</v>
      </c>
      <c r="B25" s="139">
        <v>940</v>
      </c>
      <c r="C25" s="83" t="s">
        <v>67</v>
      </c>
      <c r="D25" s="83" t="s">
        <v>73</v>
      </c>
      <c r="E25" s="83" t="s">
        <v>110</v>
      </c>
      <c r="F25" s="83"/>
      <c r="G25" s="183">
        <f>G26+G30+G32+G33</f>
        <v>18919106.5</v>
      </c>
    </row>
    <row r="26" spans="1:7" ht="25.5">
      <c r="A26" s="81" t="s">
        <v>17</v>
      </c>
      <c r="B26" s="139">
        <v>940</v>
      </c>
      <c r="C26" s="83" t="s">
        <v>67</v>
      </c>
      <c r="D26" s="83" t="s">
        <v>73</v>
      </c>
      <c r="E26" s="83" t="s">
        <v>110</v>
      </c>
      <c r="F26" s="83" t="s">
        <v>18</v>
      </c>
      <c r="G26" s="183">
        <f>G27+G28+G29</f>
        <v>11768700</v>
      </c>
    </row>
    <row r="27" spans="1:7" ht="25.5">
      <c r="A27" s="81" t="s">
        <v>209</v>
      </c>
      <c r="B27" s="139">
        <v>940</v>
      </c>
      <c r="C27" s="83" t="s">
        <v>67</v>
      </c>
      <c r="D27" s="83" t="s">
        <v>73</v>
      </c>
      <c r="E27" s="83" t="s">
        <v>110</v>
      </c>
      <c r="F27" s="83" t="s">
        <v>31</v>
      </c>
      <c r="G27" s="184">
        <f>9060400+2617200-400000-2017200-200000</f>
        <v>9060400</v>
      </c>
    </row>
    <row r="28" spans="1:7" ht="38.25">
      <c r="A28" s="81" t="s">
        <v>210</v>
      </c>
      <c r="B28" s="139">
        <v>940</v>
      </c>
      <c r="C28" s="83" t="s">
        <v>67</v>
      </c>
      <c r="D28" s="83" t="s">
        <v>73</v>
      </c>
      <c r="E28" s="83" t="s">
        <v>110</v>
      </c>
      <c r="F28" s="83" t="s">
        <v>32</v>
      </c>
      <c r="G28" s="185">
        <f>240000-240000</f>
        <v>0</v>
      </c>
    </row>
    <row r="29" spans="1:7" ht="51">
      <c r="A29" s="81" t="s">
        <v>211</v>
      </c>
      <c r="B29" s="139">
        <v>940</v>
      </c>
      <c r="C29" s="83" t="s">
        <v>67</v>
      </c>
      <c r="D29" s="83" t="s">
        <v>73</v>
      </c>
      <c r="E29" s="83" t="s">
        <v>110</v>
      </c>
      <c r="F29" s="83" t="s">
        <v>177</v>
      </c>
      <c r="G29" s="185">
        <f>2928300-220000</f>
        <v>2708300</v>
      </c>
    </row>
    <row r="30" spans="1:7" ht="38.25">
      <c r="A30" s="64" t="s">
        <v>19</v>
      </c>
      <c r="B30" s="139">
        <v>940</v>
      </c>
      <c r="C30" s="83" t="s">
        <v>67</v>
      </c>
      <c r="D30" s="83" t="s">
        <v>73</v>
      </c>
      <c r="E30" s="83" t="s">
        <v>110</v>
      </c>
      <c r="F30" s="83" t="s">
        <v>20</v>
      </c>
      <c r="G30" s="185">
        <f>G31</f>
        <v>2807406.5</v>
      </c>
    </row>
    <row r="31" spans="1:7" ht="38.25">
      <c r="A31" s="64" t="s">
        <v>178</v>
      </c>
      <c r="B31" s="82">
        <v>940</v>
      </c>
      <c r="C31" s="83" t="s">
        <v>67</v>
      </c>
      <c r="D31" s="83" t="s">
        <v>73</v>
      </c>
      <c r="E31" s="83" t="s">
        <v>110</v>
      </c>
      <c r="F31" s="83" t="s">
        <v>33</v>
      </c>
      <c r="G31" s="185">
        <f>214000+30000+878400+103200+26900+26500+161500+21600+70000+36000+100000+550000+1673000+500000-1666000+82306.5</f>
        <v>2807406.5</v>
      </c>
    </row>
    <row r="32" spans="1:7" ht="28.5" customHeight="1">
      <c r="A32" s="169" t="s">
        <v>359</v>
      </c>
      <c r="B32" s="82">
        <v>940</v>
      </c>
      <c r="C32" s="83" t="s">
        <v>67</v>
      </c>
      <c r="D32" s="83" t="s">
        <v>73</v>
      </c>
      <c r="E32" s="83" t="s">
        <v>358</v>
      </c>
      <c r="F32" s="83" t="s">
        <v>30</v>
      </c>
      <c r="G32" s="185">
        <f>3897000</f>
        <v>3897000</v>
      </c>
    </row>
    <row r="33" spans="1:7" ht="12.75">
      <c r="A33" s="64" t="s">
        <v>21</v>
      </c>
      <c r="B33" s="82">
        <v>940</v>
      </c>
      <c r="C33" s="83" t="s">
        <v>67</v>
      </c>
      <c r="D33" s="83" t="s">
        <v>73</v>
      </c>
      <c r="E33" s="83" t="s">
        <v>110</v>
      </c>
      <c r="F33" s="83" t="s">
        <v>22</v>
      </c>
      <c r="G33" s="185">
        <f>G34+G35+G36</f>
        <v>446000</v>
      </c>
    </row>
    <row r="34" spans="1:7" ht="25.5">
      <c r="A34" s="64" t="s">
        <v>37</v>
      </c>
      <c r="B34" s="82">
        <v>940</v>
      </c>
      <c r="C34" s="83" t="s">
        <v>67</v>
      </c>
      <c r="D34" s="83" t="s">
        <v>73</v>
      </c>
      <c r="E34" s="83" t="s">
        <v>110</v>
      </c>
      <c r="F34" s="84" t="s">
        <v>35</v>
      </c>
      <c r="G34" s="185">
        <f>100000-59000</f>
        <v>41000</v>
      </c>
    </row>
    <row r="35" spans="1:7" ht="12.75">
      <c r="A35" s="64" t="s">
        <v>212</v>
      </c>
      <c r="B35" s="82">
        <v>940</v>
      </c>
      <c r="C35" s="83" t="s">
        <v>67</v>
      </c>
      <c r="D35" s="83" t="s">
        <v>73</v>
      </c>
      <c r="E35" s="83" t="s">
        <v>110</v>
      </c>
      <c r="F35" s="84" t="s">
        <v>36</v>
      </c>
      <c r="G35" s="185">
        <v>55000</v>
      </c>
    </row>
    <row r="36" spans="1:7" ht="12.75">
      <c r="A36" s="64" t="s">
        <v>103</v>
      </c>
      <c r="B36" s="82">
        <v>940</v>
      </c>
      <c r="C36" s="83" t="s">
        <v>67</v>
      </c>
      <c r="D36" s="83" t="s">
        <v>73</v>
      </c>
      <c r="E36" s="83" t="s">
        <v>110</v>
      </c>
      <c r="F36" s="84" t="s">
        <v>102</v>
      </c>
      <c r="G36" s="185">
        <f>100000+250000</f>
        <v>350000</v>
      </c>
    </row>
    <row r="37" spans="1:7" ht="38.25">
      <c r="A37" s="140" t="s">
        <v>75</v>
      </c>
      <c r="B37" s="141">
        <v>940</v>
      </c>
      <c r="C37" s="122" t="s">
        <v>67</v>
      </c>
      <c r="D37" s="122" t="s">
        <v>76</v>
      </c>
      <c r="E37" s="122"/>
      <c r="F37" s="122"/>
      <c r="G37" s="186">
        <f>G38</f>
        <v>145880</v>
      </c>
    </row>
    <row r="38" spans="1:7" ht="12.75">
      <c r="A38" s="81" t="s">
        <v>112</v>
      </c>
      <c r="B38" s="142">
        <v>940</v>
      </c>
      <c r="C38" s="101" t="s">
        <v>67</v>
      </c>
      <c r="D38" s="101" t="s">
        <v>76</v>
      </c>
      <c r="E38" s="116" t="s">
        <v>113</v>
      </c>
      <c r="F38" s="170"/>
      <c r="G38" s="187">
        <f>G39</f>
        <v>145880</v>
      </c>
    </row>
    <row r="39" spans="1:7" ht="12.75">
      <c r="A39" s="87" t="s">
        <v>74</v>
      </c>
      <c r="B39" s="142">
        <v>940</v>
      </c>
      <c r="C39" s="101" t="s">
        <v>67</v>
      </c>
      <c r="D39" s="101" t="s">
        <v>76</v>
      </c>
      <c r="E39" s="116" t="s">
        <v>179</v>
      </c>
      <c r="F39" s="84"/>
      <c r="G39" s="172">
        <f>G40</f>
        <v>145880</v>
      </c>
    </row>
    <row r="40" spans="1:7" ht="93" customHeight="1">
      <c r="A40" s="64" t="s">
        <v>218</v>
      </c>
      <c r="B40" s="82">
        <v>940</v>
      </c>
      <c r="C40" s="101" t="s">
        <v>67</v>
      </c>
      <c r="D40" s="101" t="s">
        <v>76</v>
      </c>
      <c r="E40" s="116" t="s">
        <v>180</v>
      </c>
      <c r="F40" s="84"/>
      <c r="G40" s="172">
        <f>G41</f>
        <v>145880</v>
      </c>
    </row>
    <row r="41" spans="1:7" ht="12.75">
      <c r="A41" s="64" t="s">
        <v>59</v>
      </c>
      <c r="B41" s="82">
        <v>940</v>
      </c>
      <c r="C41" s="101" t="s">
        <v>67</v>
      </c>
      <c r="D41" s="101" t="s">
        <v>76</v>
      </c>
      <c r="E41" s="116" t="s">
        <v>180</v>
      </c>
      <c r="F41" s="83" t="s">
        <v>30</v>
      </c>
      <c r="G41" s="185">
        <f>145900-20</f>
        <v>145880</v>
      </c>
    </row>
    <row r="42" spans="1:7" ht="21" customHeight="1">
      <c r="A42" s="171" t="s">
        <v>78</v>
      </c>
      <c r="B42" s="138">
        <v>940</v>
      </c>
      <c r="C42" s="95" t="s">
        <v>67</v>
      </c>
      <c r="D42" s="95" t="s">
        <v>79</v>
      </c>
      <c r="E42" s="95"/>
      <c r="F42" s="95"/>
      <c r="G42" s="188">
        <f>G43+G46</f>
        <v>4321030.359999999</v>
      </c>
    </row>
    <row r="43" spans="1:7" ht="66.75" customHeight="1">
      <c r="A43" s="169" t="s">
        <v>223</v>
      </c>
      <c r="B43" s="204">
        <v>940</v>
      </c>
      <c r="C43" s="205" t="s">
        <v>67</v>
      </c>
      <c r="D43" s="205" t="s">
        <v>79</v>
      </c>
      <c r="E43" s="206" t="s">
        <v>224</v>
      </c>
      <c r="F43" s="205"/>
      <c r="G43" s="196">
        <f>G44</f>
        <v>585000</v>
      </c>
    </row>
    <row r="44" spans="1:7" ht="15.75" customHeight="1">
      <c r="A44" s="207" t="s">
        <v>225</v>
      </c>
      <c r="B44" s="204">
        <v>940</v>
      </c>
      <c r="C44" s="205" t="s">
        <v>67</v>
      </c>
      <c r="D44" s="205" t="s">
        <v>79</v>
      </c>
      <c r="E44" s="206" t="s">
        <v>224</v>
      </c>
      <c r="F44" s="205" t="s">
        <v>226</v>
      </c>
      <c r="G44" s="196">
        <f>G45</f>
        <v>585000</v>
      </c>
    </row>
    <row r="45" spans="1:7" ht="39.75" customHeight="1">
      <c r="A45" s="208" t="s">
        <v>227</v>
      </c>
      <c r="B45" s="204">
        <v>940</v>
      </c>
      <c r="C45" s="205" t="s">
        <v>67</v>
      </c>
      <c r="D45" s="205" t="s">
        <v>79</v>
      </c>
      <c r="E45" s="206" t="s">
        <v>224</v>
      </c>
      <c r="F45" s="205" t="s">
        <v>228</v>
      </c>
      <c r="G45" s="196">
        <f>499500+63131.25+22368.75</f>
        <v>585000</v>
      </c>
    </row>
    <row r="46" spans="1:7" ht="12.75">
      <c r="A46" s="81" t="s">
        <v>112</v>
      </c>
      <c r="B46" s="139">
        <v>940</v>
      </c>
      <c r="C46" s="83" t="s">
        <v>67</v>
      </c>
      <c r="D46" s="83" t="s">
        <v>79</v>
      </c>
      <c r="E46" s="83" t="s">
        <v>113</v>
      </c>
      <c r="F46" s="83"/>
      <c r="G46" s="189">
        <f>G47+G50+G53+G56+G59</f>
        <v>3736030.36</v>
      </c>
    </row>
    <row r="47" spans="1:7" ht="25.5">
      <c r="A47" s="64" t="s">
        <v>116</v>
      </c>
      <c r="B47" s="139">
        <v>940</v>
      </c>
      <c r="C47" s="83" t="s">
        <v>67</v>
      </c>
      <c r="D47" s="83" t="s">
        <v>79</v>
      </c>
      <c r="E47" s="83" t="s">
        <v>117</v>
      </c>
      <c r="F47" s="83"/>
      <c r="G47" s="189">
        <f>G48</f>
        <v>21700</v>
      </c>
    </row>
    <row r="48" spans="1:7" ht="12.75">
      <c r="A48" s="64" t="s">
        <v>21</v>
      </c>
      <c r="B48" s="139">
        <v>940</v>
      </c>
      <c r="C48" s="83" t="s">
        <v>67</v>
      </c>
      <c r="D48" s="83" t="s">
        <v>79</v>
      </c>
      <c r="E48" s="83" t="s">
        <v>117</v>
      </c>
      <c r="F48" s="83" t="s">
        <v>22</v>
      </c>
      <c r="G48" s="189">
        <f>G49</f>
        <v>21700</v>
      </c>
    </row>
    <row r="49" spans="1:7" ht="12.75">
      <c r="A49" s="64" t="s">
        <v>103</v>
      </c>
      <c r="B49" s="139">
        <v>940</v>
      </c>
      <c r="C49" s="83" t="s">
        <v>67</v>
      </c>
      <c r="D49" s="83" t="s">
        <v>79</v>
      </c>
      <c r="E49" s="83" t="s">
        <v>117</v>
      </c>
      <c r="F49" s="83" t="s">
        <v>102</v>
      </c>
      <c r="G49" s="189">
        <v>21700</v>
      </c>
    </row>
    <row r="50" spans="1:7" ht="38.25">
      <c r="A50" s="64" t="s">
        <v>80</v>
      </c>
      <c r="B50" s="139">
        <v>940</v>
      </c>
      <c r="C50" s="83" t="s">
        <v>67</v>
      </c>
      <c r="D50" s="83" t="s">
        <v>79</v>
      </c>
      <c r="E50" s="83" t="s">
        <v>115</v>
      </c>
      <c r="F50" s="83"/>
      <c r="G50" s="189">
        <f>G51</f>
        <v>15000</v>
      </c>
    </row>
    <row r="51" spans="1:7" ht="38.25">
      <c r="A51" s="64" t="s">
        <v>19</v>
      </c>
      <c r="B51" s="139">
        <v>940</v>
      </c>
      <c r="C51" s="83" t="s">
        <v>67</v>
      </c>
      <c r="D51" s="83" t="s">
        <v>79</v>
      </c>
      <c r="E51" s="83" t="s">
        <v>115</v>
      </c>
      <c r="F51" s="83" t="s">
        <v>20</v>
      </c>
      <c r="G51" s="189">
        <f>G52</f>
        <v>15000</v>
      </c>
    </row>
    <row r="52" spans="1:7" ht="38.25">
      <c r="A52" s="64" t="s">
        <v>178</v>
      </c>
      <c r="B52" s="139">
        <v>940</v>
      </c>
      <c r="C52" s="83" t="s">
        <v>67</v>
      </c>
      <c r="D52" s="83" t="s">
        <v>79</v>
      </c>
      <c r="E52" s="83" t="s">
        <v>115</v>
      </c>
      <c r="F52" s="83" t="s">
        <v>33</v>
      </c>
      <c r="G52" s="189">
        <f>500000-485000</f>
        <v>15000</v>
      </c>
    </row>
    <row r="53" spans="1:7" ht="38.25">
      <c r="A53" s="64" t="s">
        <v>222</v>
      </c>
      <c r="B53" s="139">
        <v>940</v>
      </c>
      <c r="C53" s="83" t="s">
        <v>67</v>
      </c>
      <c r="D53" s="83" t="s">
        <v>79</v>
      </c>
      <c r="E53" s="83" t="s">
        <v>221</v>
      </c>
      <c r="F53" s="83"/>
      <c r="G53" s="184">
        <f>G54</f>
        <v>2361381.36</v>
      </c>
    </row>
    <row r="54" spans="1:7" ht="38.25">
      <c r="A54" s="64" t="s">
        <v>19</v>
      </c>
      <c r="B54" s="139">
        <v>940</v>
      </c>
      <c r="C54" s="83" t="s">
        <v>67</v>
      </c>
      <c r="D54" s="83" t="s">
        <v>79</v>
      </c>
      <c r="E54" s="83" t="s">
        <v>221</v>
      </c>
      <c r="F54" s="83" t="s">
        <v>20</v>
      </c>
      <c r="G54" s="189">
        <f>G55</f>
        <v>2361381.36</v>
      </c>
    </row>
    <row r="55" spans="1:7" ht="38.25">
      <c r="A55" s="64" t="s">
        <v>178</v>
      </c>
      <c r="B55" s="139">
        <v>940</v>
      </c>
      <c r="C55" s="83" t="s">
        <v>67</v>
      </c>
      <c r="D55" s="83" t="s">
        <v>79</v>
      </c>
      <c r="E55" s="83" t="s">
        <v>221</v>
      </c>
      <c r="F55" s="83" t="s">
        <v>33</v>
      </c>
      <c r="G55" s="189">
        <f>2361381.36</f>
        <v>2361381.36</v>
      </c>
    </row>
    <row r="56" spans="1:7" ht="12.75">
      <c r="A56" s="64" t="s">
        <v>53</v>
      </c>
      <c r="B56" s="82">
        <v>940</v>
      </c>
      <c r="C56" s="83" t="s">
        <v>67</v>
      </c>
      <c r="D56" s="83" t="s">
        <v>79</v>
      </c>
      <c r="E56" s="116" t="s">
        <v>182</v>
      </c>
      <c r="F56" s="83"/>
      <c r="G56" s="172">
        <f>G57</f>
        <v>240450</v>
      </c>
    </row>
    <row r="57" spans="1:7" ht="102">
      <c r="A57" s="64" t="s">
        <v>219</v>
      </c>
      <c r="B57" s="82">
        <v>940</v>
      </c>
      <c r="C57" s="83" t="s">
        <v>67</v>
      </c>
      <c r="D57" s="83" t="s">
        <v>79</v>
      </c>
      <c r="E57" s="116" t="s">
        <v>181</v>
      </c>
      <c r="F57" s="83"/>
      <c r="G57" s="185">
        <f>G58</f>
        <v>240450</v>
      </c>
    </row>
    <row r="58" spans="1:7" ht="12.75">
      <c r="A58" s="85" t="s">
        <v>59</v>
      </c>
      <c r="B58" s="82">
        <v>940</v>
      </c>
      <c r="C58" s="83" t="s">
        <v>67</v>
      </c>
      <c r="D58" s="83" t="s">
        <v>79</v>
      </c>
      <c r="E58" s="116" t="s">
        <v>181</v>
      </c>
      <c r="F58" s="83" t="s">
        <v>30</v>
      </c>
      <c r="G58" s="185">
        <v>240450</v>
      </c>
    </row>
    <row r="59" spans="1:7" ht="27.75" customHeight="1">
      <c r="A59" s="81" t="s">
        <v>186</v>
      </c>
      <c r="B59" s="143">
        <v>940</v>
      </c>
      <c r="C59" s="86" t="s">
        <v>67</v>
      </c>
      <c r="D59" s="86" t="s">
        <v>79</v>
      </c>
      <c r="E59" s="86" t="s">
        <v>114</v>
      </c>
      <c r="F59" s="86"/>
      <c r="G59" s="185">
        <f>G60</f>
        <v>1097499</v>
      </c>
    </row>
    <row r="60" spans="1:7" ht="27" customHeight="1">
      <c r="A60" s="81" t="s">
        <v>186</v>
      </c>
      <c r="B60" s="143">
        <v>940</v>
      </c>
      <c r="C60" s="86" t="s">
        <v>67</v>
      </c>
      <c r="D60" s="86" t="s">
        <v>79</v>
      </c>
      <c r="E60" s="86" t="s">
        <v>114</v>
      </c>
      <c r="F60" s="86" t="s">
        <v>29</v>
      </c>
      <c r="G60" s="185">
        <f>G61</f>
        <v>1097499</v>
      </c>
    </row>
    <row r="61" spans="1:7" ht="13.5" customHeight="1">
      <c r="A61" s="64" t="s">
        <v>108</v>
      </c>
      <c r="B61" s="143">
        <v>940</v>
      </c>
      <c r="C61" s="86" t="s">
        <v>67</v>
      </c>
      <c r="D61" s="86" t="s">
        <v>79</v>
      </c>
      <c r="E61" s="86" t="s">
        <v>114</v>
      </c>
      <c r="F61" s="86" t="s">
        <v>107</v>
      </c>
      <c r="G61" s="185">
        <f>600000+497499</f>
        <v>1097499</v>
      </c>
    </row>
    <row r="62" spans="1:7" ht="12.75">
      <c r="A62" s="92" t="s">
        <v>81</v>
      </c>
      <c r="B62" s="137">
        <v>940</v>
      </c>
      <c r="C62" s="93" t="s">
        <v>69</v>
      </c>
      <c r="D62" s="93"/>
      <c r="E62" s="93"/>
      <c r="F62" s="93"/>
      <c r="G62" s="190">
        <f>G63</f>
        <v>533000</v>
      </c>
    </row>
    <row r="63" spans="1:7" ht="12.75">
      <c r="A63" s="117" t="s">
        <v>82</v>
      </c>
      <c r="B63" s="144">
        <v>940</v>
      </c>
      <c r="C63" s="103" t="s">
        <v>69</v>
      </c>
      <c r="D63" s="103" t="s">
        <v>71</v>
      </c>
      <c r="E63" s="103"/>
      <c r="F63" s="103"/>
      <c r="G63" s="184">
        <f>G64</f>
        <v>533000</v>
      </c>
    </row>
    <row r="64" spans="1:7" ht="12.75">
      <c r="A64" s="117" t="s">
        <v>112</v>
      </c>
      <c r="B64" s="144">
        <v>940</v>
      </c>
      <c r="C64" s="103" t="s">
        <v>69</v>
      </c>
      <c r="D64" s="103" t="s">
        <v>71</v>
      </c>
      <c r="E64" s="103" t="s">
        <v>113</v>
      </c>
      <c r="F64" s="103"/>
      <c r="G64" s="184">
        <f>G65</f>
        <v>533000</v>
      </c>
    </row>
    <row r="65" spans="1:7" ht="38.25">
      <c r="A65" s="117" t="s">
        <v>83</v>
      </c>
      <c r="B65" s="144">
        <v>940</v>
      </c>
      <c r="C65" s="103" t="s">
        <v>69</v>
      </c>
      <c r="D65" s="103" t="s">
        <v>71</v>
      </c>
      <c r="E65" s="103" t="s">
        <v>118</v>
      </c>
      <c r="F65" s="103"/>
      <c r="G65" s="184">
        <f>G66</f>
        <v>533000</v>
      </c>
    </row>
    <row r="66" spans="1:7" ht="25.5">
      <c r="A66" s="81" t="s">
        <v>17</v>
      </c>
      <c r="B66" s="144">
        <v>940</v>
      </c>
      <c r="C66" s="103" t="s">
        <v>69</v>
      </c>
      <c r="D66" s="103" t="s">
        <v>71</v>
      </c>
      <c r="E66" s="103" t="s">
        <v>118</v>
      </c>
      <c r="F66" s="103" t="s">
        <v>18</v>
      </c>
      <c r="G66" s="184">
        <f>G67+G68</f>
        <v>533000</v>
      </c>
    </row>
    <row r="67" spans="1:7" ht="25.5">
      <c r="A67" s="81" t="s">
        <v>209</v>
      </c>
      <c r="B67" s="144">
        <v>940</v>
      </c>
      <c r="C67" s="103" t="s">
        <v>69</v>
      </c>
      <c r="D67" s="103" t="s">
        <v>71</v>
      </c>
      <c r="E67" s="103" t="s">
        <v>118</v>
      </c>
      <c r="F67" s="103" t="s">
        <v>31</v>
      </c>
      <c r="G67" s="184">
        <f>425000-20000</f>
        <v>405000</v>
      </c>
    </row>
    <row r="68" spans="1:7" ht="51">
      <c r="A68" s="81" t="s">
        <v>211</v>
      </c>
      <c r="B68" s="144">
        <v>940</v>
      </c>
      <c r="C68" s="103" t="s">
        <v>69</v>
      </c>
      <c r="D68" s="103" t="s">
        <v>71</v>
      </c>
      <c r="E68" s="103" t="s">
        <v>118</v>
      </c>
      <c r="F68" s="103" t="s">
        <v>177</v>
      </c>
      <c r="G68" s="184">
        <v>128000</v>
      </c>
    </row>
    <row r="69" spans="1:7" ht="25.5">
      <c r="A69" s="92" t="s">
        <v>84</v>
      </c>
      <c r="B69" s="137">
        <v>940</v>
      </c>
      <c r="C69" s="93" t="s">
        <v>71</v>
      </c>
      <c r="D69" s="93"/>
      <c r="E69" s="93"/>
      <c r="F69" s="93"/>
      <c r="G69" s="190">
        <f>G70</f>
        <v>590711.66</v>
      </c>
    </row>
    <row r="70" spans="1:7" ht="38.25">
      <c r="A70" s="104" t="s">
        <v>184</v>
      </c>
      <c r="B70" s="145" t="s">
        <v>42</v>
      </c>
      <c r="C70" s="95" t="s">
        <v>71</v>
      </c>
      <c r="D70" s="95" t="s">
        <v>85</v>
      </c>
      <c r="E70" s="95"/>
      <c r="F70" s="95"/>
      <c r="G70" s="188">
        <f>G71+G76</f>
        <v>590711.66</v>
      </c>
    </row>
    <row r="71" spans="1:7" ht="64.5" customHeight="1">
      <c r="A71" s="105" t="s">
        <v>183</v>
      </c>
      <c r="B71" s="146" t="s">
        <v>42</v>
      </c>
      <c r="C71" s="115" t="s">
        <v>71</v>
      </c>
      <c r="D71" s="115" t="s">
        <v>85</v>
      </c>
      <c r="E71" s="115" t="s">
        <v>119</v>
      </c>
      <c r="F71" s="115"/>
      <c r="G71" s="191">
        <f>G72</f>
        <v>190711.66000000003</v>
      </c>
    </row>
    <row r="72" spans="1:7" ht="38.25">
      <c r="A72" s="105" t="s">
        <v>120</v>
      </c>
      <c r="B72" s="146" t="s">
        <v>42</v>
      </c>
      <c r="C72" s="115" t="s">
        <v>71</v>
      </c>
      <c r="D72" s="115" t="s">
        <v>85</v>
      </c>
      <c r="E72" s="115" t="s">
        <v>121</v>
      </c>
      <c r="F72" s="115"/>
      <c r="G72" s="191">
        <f>G73</f>
        <v>190711.66000000003</v>
      </c>
    </row>
    <row r="73" spans="1:7" ht="12.75">
      <c r="A73" s="105" t="s">
        <v>122</v>
      </c>
      <c r="B73" s="146" t="s">
        <v>42</v>
      </c>
      <c r="C73" s="115" t="s">
        <v>71</v>
      </c>
      <c r="D73" s="115" t="s">
        <v>85</v>
      </c>
      <c r="E73" s="115" t="s">
        <v>123</v>
      </c>
      <c r="F73" s="115"/>
      <c r="G73" s="191">
        <f>G74</f>
        <v>190711.66000000003</v>
      </c>
    </row>
    <row r="74" spans="1:7" ht="38.25">
      <c r="A74" s="64" t="s">
        <v>19</v>
      </c>
      <c r="B74" s="146" t="s">
        <v>42</v>
      </c>
      <c r="C74" s="115" t="s">
        <v>71</v>
      </c>
      <c r="D74" s="115" t="s">
        <v>85</v>
      </c>
      <c r="E74" s="115" t="s">
        <v>123</v>
      </c>
      <c r="F74" s="115" t="s">
        <v>20</v>
      </c>
      <c r="G74" s="191">
        <f>G75</f>
        <v>190711.66000000003</v>
      </c>
    </row>
    <row r="75" spans="1:7" ht="38.25">
      <c r="A75" s="64" t="s">
        <v>178</v>
      </c>
      <c r="B75" s="147">
        <v>940</v>
      </c>
      <c r="C75" s="115" t="s">
        <v>71</v>
      </c>
      <c r="D75" s="115" t="s">
        <v>85</v>
      </c>
      <c r="E75" s="115" t="s">
        <v>123</v>
      </c>
      <c r="F75" s="103" t="s">
        <v>33</v>
      </c>
      <c r="G75" s="191">
        <f>400000+190711.66-400000</f>
        <v>190711.66000000003</v>
      </c>
    </row>
    <row r="76" spans="1:7" ht="30" customHeight="1">
      <c r="A76" s="81" t="s">
        <v>186</v>
      </c>
      <c r="B76" s="147">
        <v>940</v>
      </c>
      <c r="C76" s="115" t="s">
        <v>71</v>
      </c>
      <c r="D76" s="115" t="s">
        <v>85</v>
      </c>
      <c r="E76" s="86" t="s">
        <v>114</v>
      </c>
      <c r="F76" s="103"/>
      <c r="G76" s="191">
        <f>G77</f>
        <v>400000</v>
      </c>
    </row>
    <row r="77" spans="1:7" ht="27" customHeight="1">
      <c r="A77" s="81" t="s">
        <v>186</v>
      </c>
      <c r="B77" s="147">
        <v>940</v>
      </c>
      <c r="C77" s="115" t="s">
        <v>71</v>
      </c>
      <c r="D77" s="115" t="s">
        <v>85</v>
      </c>
      <c r="E77" s="86" t="s">
        <v>114</v>
      </c>
      <c r="F77" s="103" t="s">
        <v>29</v>
      </c>
      <c r="G77" s="191">
        <f>G78</f>
        <v>400000</v>
      </c>
    </row>
    <row r="78" spans="1:7" ht="14.25" customHeight="1">
      <c r="A78" s="64" t="s">
        <v>108</v>
      </c>
      <c r="B78" s="147">
        <v>940</v>
      </c>
      <c r="C78" s="115" t="s">
        <v>71</v>
      </c>
      <c r="D78" s="115" t="s">
        <v>85</v>
      </c>
      <c r="E78" s="86" t="s">
        <v>114</v>
      </c>
      <c r="F78" s="86" t="s">
        <v>107</v>
      </c>
      <c r="G78" s="191">
        <f>400000</f>
        <v>400000</v>
      </c>
    </row>
    <row r="79" spans="1:7" ht="12.75">
      <c r="A79" s="107" t="s">
        <v>86</v>
      </c>
      <c r="B79" s="148" t="s">
        <v>42</v>
      </c>
      <c r="C79" s="93" t="s">
        <v>73</v>
      </c>
      <c r="D79" s="93"/>
      <c r="E79" s="93"/>
      <c r="F79" s="93"/>
      <c r="G79" s="190">
        <f>G85+G90</f>
        <v>385000</v>
      </c>
    </row>
    <row r="80" spans="1:7" s="10" customFormat="1" ht="12.75" hidden="1">
      <c r="A80" s="104" t="s">
        <v>88</v>
      </c>
      <c r="B80" s="145" t="s">
        <v>42</v>
      </c>
      <c r="C80" s="95" t="s">
        <v>73</v>
      </c>
      <c r="D80" s="95" t="s">
        <v>85</v>
      </c>
      <c r="E80" s="95"/>
      <c r="F80" s="95"/>
      <c r="G80" s="188">
        <f>G83+G81</f>
        <v>0</v>
      </c>
    </row>
    <row r="81" spans="1:7" s="10" customFormat="1" ht="63.75" hidden="1">
      <c r="A81" s="64" t="s">
        <v>60</v>
      </c>
      <c r="B81" s="149" t="s">
        <v>42</v>
      </c>
      <c r="C81" s="101" t="s">
        <v>73</v>
      </c>
      <c r="D81" s="101" t="s">
        <v>85</v>
      </c>
      <c r="E81" s="101" t="s">
        <v>104</v>
      </c>
      <c r="F81" s="101"/>
      <c r="G81" s="192">
        <f>G82</f>
        <v>0</v>
      </c>
    </row>
    <row r="82" spans="1:7" s="10" customFormat="1" ht="25.5" hidden="1">
      <c r="A82" s="64" t="s">
        <v>34</v>
      </c>
      <c r="B82" s="149" t="s">
        <v>42</v>
      </c>
      <c r="C82" s="101" t="s">
        <v>73</v>
      </c>
      <c r="D82" s="101" t="s">
        <v>85</v>
      </c>
      <c r="E82" s="101" t="s">
        <v>104</v>
      </c>
      <c r="F82" s="101" t="s">
        <v>33</v>
      </c>
      <c r="G82" s="192"/>
    </row>
    <row r="83" spans="1:7" ht="76.5" hidden="1">
      <c r="A83" s="76" t="s">
        <v>101</v>
      </c>
      <c r="B83" s="150">
        <v>940</v>
      </c>
      <c r="C83" s="86" t="s">
        <v>73</v>
      </c>
      <c r="D83" s="86" t="s">
        <v>85</v>
      </c>
      <c r="E83" s="86" t="s">
        <v>105</v>
      </c>
      <c r="F83" s="86"/>
      <c r="G83" s="191">
        <f>G84</f>
        <v>0</v>
      </c>
    </row>
    <row r="84" spans="1:7" ht="25.5" hidden="1">
      <c r="A84" s="64" t="s">
        <v>34</v>
      </c>
      <c r="B84" s="150">
        <v>940</v>
      </c>
      <c r="C84" s="86" t="s">
        <v>73</v>
      </c>
      <c r="D84" s="86" t="s">
        <v>85</v>
      </c>
      <c r="E84" s="86" t="s">
        <v>105</v>
      </c>
      <c r="F84" s="106" t="s">
        <v>33</v>
      </c>
      <c r="G84" s="191"/>
    </row>
    <row r="85" spans="1:7" ht="12.75">
      <c r="A85" s="108" t="s">
        <v>23</v>
      </c>
      <c r="B85" s="151">
        <v>940</v>
      </c>
      <c r="C85" s="109" t="s">
        <v>73</v>
      </c>
      <c r="D85" s="109" t="s">
        <v>89</v>
      </c>
      <c r="E85" s="109"/>
      <c r="F85" s="110"/>
      <c r="G85" s="193">
        <f>G86</f>
        <v>328000</v>
      </c>
    </row>
    <row r="86" spans="1:7" s="10" customFormat="1" ht="12.75">
      <c r="A86" s="111" t="s">
        <v>112</v>
      </c>
      <c r="B86" s="143">
        <v>940</v>
      </c>
      <c r="C86" s="101" t="s">
        <v>73</v>
      </c>
      <c r="D86" s="101" t="s">
        <v>89</v>
      </c>
      <c r="E86" s="101" t="s">
        <v>113</v>
      </c>
      <c r="F86" s="102"/>
      <c r="G86" s="192">
        <f>G87</f>
        <v>328000</v>
      </c>
    </row>
    <row r="87" spans="1:7" ht="26.25" customHeight="1">
      <c r="A87" s="64" t="s">
        <v>90</v>
      </c>
      <c r="B87" s="150">
        <v>940</v>
      </c>
      <c r="C87" s="86" t="s">
        <v>73</v>
      </c>
      <c r="D87" s="86" t="s">
        <v>89</v>
      </c>
      <c r="E87" s="83" t="s">
        <v>124</v>
      </c>
      <c r="F87" s="106"/>
      <c r="G87" s="191">
        <f>G88</f>
        <v>328000</v>
      </c>
    </row>
    <row r="88" spans="1:7" ht="38.25">
      <c r="A88" s="64" t="s">
        <v>19</v>
      </c>
      <c r="B88" s="150">
        <v>940</v>
      </c>
      <c r="C88" s="86" t="s">
        <v>73</v>
      </c>
      <c r="D88" s="86" t="s">
        <v>89</v>
      </c>
      <c r="E88" s="83" t="s">
        <v>124</v>
      </c>
      <c r="F88" s="106" t="s">
        <v>20</v>
      </c>
      <c r="G88" s="191">
        <f>G89</f>
        <v>328000</v>
      </c>
    </row>
    <row r="89" spans="1:7" ht="25.5">
      <c r="A89" s="85" t="s">
        <v>39</v>
      </c>
      <c r="B89" s="152">
        <v>940</v>
      </c>
      <c r="C89" s="115" t="s">
        <v>73</v>
      </c>
      <c r="D89" s="115" t="s">
        <v>89</v>
      </c>
      <c r="E89" s="103" t="s">
        <v>124</v>
      </c>
      <c r="F89" s="153" t="s">
        <v>38</v>
      </c>
      <c r="G89" s="191">
        <f>192000+70000+50000+90000+180000+182000+40000+40000+6000+200000+20000+20000+200000-962000</f>
        <v>328000</v>
      </c>
    </row>
    <row r="90" spans="1:7" s="10" customFormat="1" ht="25.5">
      <c r="A90" s="104" t="s">
        <v>91</v>
      </c>
      <c r="B90" s="145" t="s">
        <v>42</v>
      </c>
      <c r="C90" s="95" t="s">
        <v>73</v>
      </c>
      <c r="D90" s="95" t="s">
        <v>92</v>
      </c>
      <c r="E90" s="95"/>
      <c r="F90" s="95"/>
      <c r="G90" s="188">
        <f>G91</f>
        <v>57000</v>
      </c>
    </row>
    <row r="91" spans="1:7" s="10" customFormat="1" ht="12.75">
      <c r="A91" s="112" t="s">
        <v>112</v>
      </c>
      <c r="B91" s="149" t="s">
        <v>42</v>
      </c>
      <c r="C91" s="101" t="s">
        <v>73</v>
      </c>
      <c r="D91" s="101" t="s">
        <v>92</v>
      </c>
      <c r="E91" s="101" t="s">
        <v>113</v>
      </c>
      <c r="F91" s="101"/>
      <c r="G91" s="192">
        <f>G92</f>
        <v>57000</v>
      </c>
    </row>
    <row r="92" spans="1:7" ht="25.5">
      <c r="A92" s="76" t="s">
        <v>0</v>
      </c>
      <c r="B92" s="150">
        <v>940</v>
      </c>
      <c r="C92" s="86" t="s">
        <v>73</v>
      </c>
      <c r="D92" s="86" t="s">
        <v>92</v>
      </c>
      <c r="E92" s="86" t="s">
        <v>125</v>
      </c>
      <c r="F92" s="86"/>
      <c r="G92" s="191">
        <f>G93</f>
        <v>57000</v>
      </c>
    </row>
    <row r="93" spans="1:7" ht="38.25">
      <c r="A93" s="64" t="s">
        <v>19</v>
      </c>
      <c r="B93" s="150">
        <v>940</v>
      </c>
      <c r="C93" s="86" t="s">
        <v>73</v>
      </c>
      <c r="D93" s="86" t="s">
        <v>92</v>
      </c>
      <c r="E93" s="86" t="s">
        <v>125</v>
      </c>
      <c r="F93" s="86" t="s">
        <v>20</v>
      </c>
      <c r="G93" s="191">
        <f>G94</f>
        <v>57000</v>
      </c>
    </row>
    <row r="94" spans="1:7" ht="38.25">
      <c r="A94" s="64" t="s">
        <v>178</v>
      </c>
      <c r="B94" s="82">
        <v>940</v>
      </c>
      <c r="C94" s="86" t="s">
        <v>73</v>
      </c>
      <c r="D94" s="86" t="s">
        <v>92</v>
      </c>
      <c r="E94" s="86" t="s">
        <v>125</v>
      </c>
      <c r="F94" s="106" t="s">
        <v>33</v>
      </c>
      <c r="G94" s="191">
        <f>500000+52000-495000</f>
        <v>57000</v>
      </c>
    </row>
    <row r="95" spans="1:7" ht="12.75">
      <c r="A95" s="92" t="s">
        <v>1</v>
      </c>
      <c r="B95" s="137">
        <v>940</v>
      </c>
      <c r="C95" s="93" t="s">
        <v>2</v>
      </c>
      <c r="D95" s="93"/>
      <c r="E95" s="93"/>
      <c r="F95" s="93"/>
      <c r="G95" s="180">
        <f>G100</f>
        <v>54386953.27000001</v>
      </c>
    </row>
    <row r="96" spans="1:7" s="10" customFormat="1" ht="12.75" hidden="1">
      <c r="A96" s="94" t="s">
        <v>3</v>
      </c>
      <c r="B96" s="138">
        <v>940</v>
      </c>
      <c r="C96" s="95" t="s">
        <v>2</v>
      </c>
      <c r="D96" s="95" t="s">
        <v>67</v>
      </c>
      <c r="E96" s="95"/>
      <c r="F96" s="95"/>
      <c r="G96" s="181">
        <f>G97</f>
        <v>0</v>
      </c>
    </row>
    <row r="97" spans="1:7" s="10" customFormat="1" ht="12.75" hidden="1">
      <c r="A97" s="75" t="s">
        <v>4</v>
      </c>
      <c r="B97" s="154">
        <v>940</v>
      </c>
      <c r="C97" s="101" t="s">
        <v>2</v>
      </c>
      <c r="D97" s="101" t="s">
        <v>67</v>
      </c>
      <c r="E97" s="101" t="s">
        <v>56</v>
      </c>
      <c r="F97" s="101"/>
      <c r="G97" s="194">
        <f>G98</f>
        <v>0</v>
      </c>
    </row>
    <row r="98" spans="1:7" s="10" customFormat="1" ht="25.5" hidden="1">
      <c r="A98" s="75" t="s">
        <v>93</v>
      </c>
      <c r="B98" s="154">
        <v>940</v>
      </c>
      <c r="C98" s="101" t="s">
        <v>2</v>
      </c>
      <c r="D98" s="101" t="s">
        <v>67</v>
      </c>
      <c r="E98" s="101" t="s">
        <v>94</v>
      </c>
      <c r="F98" s="101"/>
      <c r="G98" s="194">
        <f>G99</f>
        <v>0</v>
      </c>
    </row>
    <row r="99" spans="1:7" s="10" customFormat="1" ht="38.25" hidden="1">
      <c r="A99" s="64" t="s">
        <v>95</v>
      </c>
      <c r="B99" s="154">
        <v>940</v>
      </c>
      <c r="C99" s="101" t="s">
        <v>2</v>
      </c>
      <c r="D99" s="101" t="s">
        <v>67</v>
      </c>
      <c r="E99" s="101" t="s">
        <v>94</v>
      </c>
      <c r="F99" s="106" t="s">
        <v>40</v>
      </c>
      <c r="G99" s="194">
        <f>89.6-89.6</f>
        <v>0</v>
      </c>
    </row>
    <row r="100" spans="1:7" s="10" customFormat="1" ht="12.75">
      <c r="A100" s="94" t="s">
        <v>5</v>
      </c>
      <c r="B100" s="138">
        <v>940</v>
      </c>
      <c r="C100" s="95" t="s">
        <v>2</v>
      </c>
      <c r="D100" s="95" t="s">
        <v>71</v>
      </c>
      <c r="E100" s="95"/>
      <c r="F100" s="95"/>
      <c r="G100" s="181">
        <f>G101+G117+G122</f>
        <v>54386953.27000001</v>
      </c>
    </row>
    <row r="101" spans="1:7" s="10" customFormat="1" ht="51">
      <c r="A101" s="75" t="s">
        <v>185</v>
      </c>
      <c r="B101" s="143">
        <v>940</v>
      </c>
      <c r="C101" s="101" t="s">
        <v>2</v>
      </c>
      <c r="D101" s="101" t="s">
        <v>71</v>
      </c>
      <c r="E101" s="101" t="s">
        <v>126</v>
      </c>
      <c r="F101" s="101"/>
      <c r="G101" s="194">
        <f>G102+G107+G112</f>
        <v>9279416.170000002</v>
      </c>
    </row>
    <row r="102" spans="1:7" s="10" customFormat="1" ht="12.75">
      <c r="A102" s="75" t="s">
        <v>136</v>
      </c>
      <c r="B102" s="143">
        <v>940</v>
      </c>
      <c r="C102" s="101" t="s">
        <v>2</v>
      </c>
      <c r="D102" s="101" t="s">
        <v>71</v>
      </c>
      <c r="E102" s="101" t="s">
        <v>127</v>
      </c>
      <c r="F102" s="101"/>
      <c r="G102" s="194">
        <f>G103</f>
        <v>5804971.470000001</v>
      </c>
    </row>
    <row r="103" spans="1:7" s="10" customFormat="1" ht="38.25">
      <c r="A103" s="75" t="s">
        <v>120</v>
      </c>
      <c r="B103" s="143">
        <v>940</v>
      </c>
      <c r="C103" s="101" t="s">
        <v>2</v>
      </c>
      <c r="D103" s="101" t="s">
        <v>71</v>
      </c>
      <c r="E103" s="101" t="s">
        <v>128</v>
      </c>
      <c r="F103" s="101"/>
      <c r="G103" s="194">
        <f>G104</f>
        <v>5804971.470000001</v>
      </c>
    </row>
    <row r="104" spans="1:7" s="10" customFormat="1" ht="12.75">
      <c r="A104" s="75" t="s">
        <v>129</v>
      </c>
      <c r="B104" s="143">
        <v>940</v>
      </c>
      <c r="C104" s="101" t="s">
        <v>2</v>
      </c>
      <c r="D104" s="101" t="s">
        <v>71</v>
      </c>
      <c r="E104" s="101" t="s">
        <v>130</v>
      </c>
      <c r="F104" s="101"/>
      <c r="G104" s="194">
        <f>G105</f>
        <v>5804971.470000001</v>
      </c>
    </row>
    <row r="105" spans="1:7" s="10" customFormat="1" ht="38.25">
      <c r="A105" s="64" t="s">
        <v>19</v>
      </c>
      <c r="B105" s="143">
        <v>940</v>
      </c>
      <c r="C105" s="101" t="s">
        <v>2</v>
      </c>
      <c r="D105" s="101" t="s">
        <v>71</v>
      </c>
      <c r="E105" s="101" t="s">
        <v>130</v>
      </c>
      <c r="F105" s="101" t="s">
        <v>20</v>
      </c>
      <c r="G105" s="194">
        <f>G106</f>
        <v>5804971.470000001</v>
      </c>
    </row>
    <row r="106" spans="1:7" s="10" customFormat="1" ht="38.25">
      <c r="A106" s="64" t="s">
        <v>178</v>
      </c>
      <c r="B106" s="82">
        <v>940</v>
      </c>
      <c r="C106" s="101" t="s">
        <v>2</v>
      </c>
      <c r="D106" s="101" t="s">
        <v>71</v>
      </c>
      <c r="E106" s="101" t="s">
        <v>130</v>
      </c>
      <c r="F106" s="106" t="s">
        <v>33</v>
      </c>
      <c r="G106" s="182">
        <f>7000000+194954.28-1500000+110017.19</f>
        <v>5804971.470000001</v>
      </c>
    </row>
    <row r="107" spans="1:7" s="10" customFormat="1" ht="12.75">
      <c r="A107" s="75" t="s">
        <v>207</v>
      </c>
      <c r="B107" s="143">
        <v>940</v>
      </c>
      <c r="C107" s="101" t="s">
        <v>2</v>
      </c>
      <c r="D107" s="101" t="s">
        <v>71</v>
      </c>
      <c r="E107" s="101" t="s">
        <v>131</v>
      </c>
      <c r="F107" s="101"/>
      <c r="G107" s="194">
        <f>G108</f>
        <v>479600</v>
      </c>
    </row>
    <row r="108" spans="1:7" s="10" customFormat="1" ht="38.25">
      <c r="A108" s="75" t="s">
        <v>120</v>
      </c>
      <c r="B108" s="143">
        <v>940</v>
      </c>
      <c r="C108" s="101" t="s">
        <v>2</v>
      </c>
      <c r="D108" s="101" t="s">
        <v>71</v>
      </c>
      <c r="E108" s="101" t="s">
        <v>132</v>
      </c>
      <c r="F108" s="101"/>
      <c r="G108" s="194">
        <f>G109</f>
        <v>479600</v>
      </c>
    </row>
    <row r="109" spans="1:7" s="10" customFormat="1" ht="12.75">
      <c r="A109" s="75" t="s">
        <v>208</v>
      </c>
      <c r="B109" s="143">
        <v>940</v>
      </c>
      <c r="C109" s="101" t="s">
        <v>2</v>
      </c>
      <c r="D109" s="101" t="s">
        <v>71</v>
      </c>
      <c r="E109" s="101" t="s">
        <v>133</v>
      </c>
      <c r="F109" s="101"/>
      <c r="G109" s="194">
        <f>G110</f>
        <v>479600</v>
      </c>
    </row>
    <row r="110" spans="1:7" s="10" customFormat="1" ht="38.25">
      <c r="A110" s="64" t="s">
        <v>19</v>
      </c>
      <c r="B110" s="143">
        <v>940</v>
      </c>
      <c r="C110" s="101" t="s">
        <v>2</v>
      </c>
      <c r="D110" s="101" t="s">
        <v>71</v>
      </c>
      <c r="E110" s="101" t="s">
        <v>133</v>
      </c>
      <c r="F110" s="101" t="s">
        <v>20</v>
      </c>
      <c r="G110" s="194">
        <f>G111</f>
        <v>479600</v>
      </c>
    </row>
    <row r="111" spans="1:7" s="10" customFormat="1" ht="38.25">
      <c r="A111" s="64" t="s">
        <v>178</v>
      </c>
      <c r="B111" s="82">
        <v>940</v>
      </c>
      <c r="C111" s="101" t="s">
        <v>2</v>
      </c>
      <c r="D111" s="101" t="s">
        <v>71</v>
      </c>
      <c r="E111" s="101" t="s">
        <v>133</v>
      </c>
      <c r="F111" s="106" t="s">
        <v>33</v>
      </c>
      <c r="G111" s="182">
        <f>300000+427550+35200-283150</f>
        <v>479600</v>
      </c>
    </row>
    <row r="112" spans="1:7" s="10" customFormat="1" ht="12.75">
      <c r="A112" s="75" t="s">
        <v>137</v>
      </c>
      <c r="B112" s="143">
        <v>940</v>
      </c>
      <c r="C112" s="86" t="s">
        <v>2</v>
      </c>
      <c r="D112" s="86" t="s">
        <v>71</v>
      </c>
      <c r="E112" s="86" t="s">
        <v>204</v>
      </c>
      <c r="F112" s="86"/>
      <c r="G112" s="195">
        <f>G116</f>
        <v>2994844.7</v>
      </c>
    </row>
    <row r="113" spans="1:7" s="10" customFormat="1" ht="38.25">
      <c r="A113" s="75" t="s">
        <v>120</v>
      </c>
      <c r="B113" s="143">
        <v>940</v>
      </c>
      <c r="C113" s="86" t="s">
        <v>2</v>
      </c>
      <c r="D113" s="86" t="s">
        <v>71</v>
      </c>
      <c r="E113" s="86" t="s">
        <v>205</v>
      </c>
      <c r="F113" s="86"/>
      <c r="G113" s="195">
        <f>G114</f>
        <v>2994844.7</v>
      </c>
    </row>
    <row r="114" spans="1:7" s="10" customFormat="1" ht="12.75">
      <c r="A114" s="75" t="s">
        <v>134</v>
      </c>
      <c r="B114" s="143">
        <v>940</v>
      </c>
      <c r="C114" s="86" t="s">
        <v>2</v>
      </c>
      <c r="D114" s="86" t="s">
        <v>71</v>
      </c>
      <c r="E114" s="86" t="s">
        <v>206</v>
      </c>
      <c r="F114" s="86"/>
      <c r="G114" s="195">
        <f>G115</f>
        <v>2994844.7</v>
      </c>
    </row>
    <row r="115" spans="1:7" s="10" customFormat="1" ht="38.25">
      <c r="A115" s="64" t="s">
        <v>19</v>
      </c>
      <c r="B115" s="143">
        <v>940</v>
      </c>
      <c r="C115" s="86" t="s">
        <v>2</v>
      </c>
      <c r="D115" s="86" t="s">
        <v>71</v>
      </c>
      <c r="E115" s="86" t="s">
        <v>206</v>
      </c>
      <c r="F115" s="86" t="s">
        <v>20</v>
      </c>
      <c r="G115" s="195">
        <f>G116</f>
        <v>2994844.7</v>
      </c>
    </row>
    <row r="116" spans="1:7" s="10" customFormat="1" ht="38.25">
      <c r="A116" s="64" t="s">
        <v>178</v>
      </c>
      <c r="B116" s="143">
        <v>940</v>
      </c>
      <c r="C116" s="86" t="s">
        <v>2</v>
      </c>
      <c r="D116" s="86" t="s">
        <v>71</v>
      </c>
      <c r="E116" s="86" t="s">
        <v>206</v>
      </c>
      <c r="F116" s="86" t="s">
        <v>33</v>
      </c>
      <c r="G116" s="195">
        <f>4000000-1005155.3</f>
        <v>2994844.7</v>
      </c>
    </row>
    <row r="117" spans="1:7" s="10" customFormat="1" ht="51">
      <c r="A117" s="228" t="s">
        <v>234</v>
      </c>
      <c r="B117" s="143">
        <v>940</v>
      </c>
      <c r="C117" s="101" t="s">
        <v>2</v>
      </c>
      <c r="D117" s="101" t="s">
        <v>71</v>
      </c>
      <c r="E117" s="86" t="s">
        <v>233</v>
      </c>
      <c r="F117" s="86"/>
      <c r="G117" s="195">
        <f>G118+G120</f>
        <v>15000000</v>
      </c>
    </row>
    <row r="118" spans="1:7" s="10" customFormat="1" ht="93.75" customHeight="1">
      <c r="A118" s="75" t="s">
        <v>361</v>
      </c>
      <c r="B118" s="143">
        <v>940</v>
      </c>
      <c r="C118" s="101" t="s">
        <v>2</v>
      </c>
      <c r="D118" s="101" t="s">
        <v>71</v>
      </c>
      <c r="E118" s="101" t="s">
        <v>231</v>
      </c>
      <c r="F118" s="86"/>
      <c r="G118" s="195">
        <f>G119</f>
        <v>14250000</v>
      </c>
    </row>
    <row r="119" spans="1:7" s="10" customFormat="1" ht="12.75">
      <c r="A119" s="64" t="s">
        <v>59</v>
      </c>
      <c r="B119" s="143">
        <v>940</v>
      </c>
      <c r="C119" s="86" t="s">
        <v>2</v>
      </c>
      <c r="D119" s="86" t="s">
        <v>71</v>
      </c>
      <c r="E119" s="101" t="s">
        <v>231</v>
      </c>
      <c r="F119" s="86" t="s">
        <v>30</v>
      </c>
      <c r="G119" s="195">
        <f>14250000</f>
        <v>14250000</v>
      </c>
    </row>
    <row r="120" spans="1:7" s="10" customFormat="1" ht="81" customHeight="1">
      <c r="A120" s="75" t="s">
        <v>360</v>
      </c>
      <c r="B120" s="143">
        <v>940</v>
      </c>
      <c r="C120" s="101" t="s">
        <v>2</v>
      </c>
      <c r="D120" s="101" t="s">
        <v>71</v>
      </c>
      <c r="E120" s="101" t="s">
        <v>357</v>
      </c>
      <c r="F120" s="86"/>
      <c r="G120" s="195">
        <f>G121</f>
        <v>750000</v>
      </c>
    </row>
    <row r="121" spans="1:7" s="10" customFormat="1" ht="12.75">
      <c r="A121" s="64" t="s">
        <v>59</v>
      </c>
      <c r="B121" s="143">
        <v>940</v>
      </c>
      <c r="C121" s="86" t="s">
        <v>2</v>
      </c>
      <c r="D121" s="86" t="s">
        <v>71</v>
      </c>
      <c r="E121" s="101" t="s">
        <v>357</v>
      </c>
      <c r="F121" s="86" t="s">
        <v>30</v>
      </c>
      <c r="G121" s="195">
        <v>750000</v>
      </c>
    </row>
    <row r="122" spans="1:7" s="10" customFormat="1" ht="12.75">
      <c r="A122" s="87" t="s">
        <v>112</v>
      </c>
      <c r="B122" s="143">
        <v>940</v>
      </c>
      <c r="C122" s="86" t="s">
        <v>2</v>
      </c>
      <c r="D122" s="86" t="s">
        <v>71</v>
      </c>
      <c r="E122" s="86" t="s">
        <v>113</v>
      </c>
      <c r="F122" s="86"/>
      <c r="G122" s="195">
        <f>G123</f>
        <v>30107537.100000005</v>
      </c>
    </row>
    <row r="123" spans="1:7" s="10" customFormat="1" ht="28.5" customHeight="1">
      <c r="A123" s="81" t="s">
        <v>186</v>
      </c>
      <c r="B123" s="143">
        <v>940</v>
      </c>
      <c r="C123" s="86" t="s">
        <v>2</v>
      </c>
      <c r="D123" s="86" t="s">
        <v>71</v>
      </c>
      <c r="E123" s="86" t="s">
        <v>114</v>
      </c>
      <c r="F123" s="86"/>
      <c r="G123" s="195">
        <f>G124</f>
        <v>30107537.100000005</v>
      </c>
    </row>
    <row r="124" spans="1:7" s="10" customFormat="1" ht="27.75" customHeight="1">
      <c r="A124" s="81" t="s">
        <v>186</v>
      </c>
      <c r="B124" s="143">
        <v>940</v>
      </c>
      <c r="C124" s="86" t="s">
        <v>2</v>
      </c>
      <c r="D124" s="86" t="s">
        <v>71</v>
      </c>
      <c r="E124" s="86" t="s">
        <v>114</v>
      </c>
      <c r="F124" s="86" t="s">
        <v>29</v>
      </c>
      <c r="G124" s="195">
        <f>G125+G126</f>
        <v>30107537.100000005</v>
      </c>
    </row>
    <row r="125" spans="1:7" s="10" customFormat="1" ht="63.75">
      <c r="A125" s="64" t="s">
        <v>213</v>
      </c>
      <c r="B125" s="143">
        <v>940</v>
      </c>
      <c r="C125" s="86" t="s">
        <v>2</v>
      </c>
      <c r="D125" s="86" t="s">
        <v>71</v>
      </c>
      <c r="E125" s="86" t="s">
        <v>114</v>
      </c>
      <c r="F125" s="86" t="s">
        <v>106</v>
      </c>
      <c r="G125" s="224">
        <f>21614700+8690600+4795500-1469864.94-3125600-3186103.26</f>
        <v>27319231.800000004</v>
      </c>
    </row>
    <row r="126" spans="1:7" s="10" customFormat="1" ht="15" customHeight="1">
      <c r="A126" s="64" t="s">
        <v>108</v>
      </c>
      <c r="B126" s="143">
        <v>940</v>
      </c>
      <c r="C126" s="86" t="s">
        <v>2</v>
      </c>
      <c r="D126" s="86" t="s">
        <v>71</v>
      </c>
      <c r="E126" s="86" t="s">
        <v>114</v>
      </c>
      <c r="F126" s="86" t="s">
        <v>107</v>
      </c>
      <c r="G126" s="224">
        <f>2788305.3</f>
        <v>2788305.3</v>
      </c>
    </row>
    <row r="127" spans="1:7" ht="14.25" customHeight="1">
      <c r="A127" s="92" t="s">
        <v>6</v>
      </c>
      <c r="B127" s="155">
        <v>940</v>
      </c>
      <c r="C127" s="93" t="s">
        <v>87</v>
      </c>
      <c r="D127" s="93"/>
      <c r="E127" s="93"/>
      <c r="F127" s="93"/>
      <c r="G127" s="190">
        <f>G128+G154</f>
        <v>48849457.39</v>
      </c>
    </row>
    <row r="128" spans="1:7" ht="12.75">
      <c r="A128" s="94" t="s">
        <v>7</v>
      </c>
      <c r="B128" s="156">
        <v>940</v>
      </c>
      <c r="C128" s="95" t="s">
        <v>87</v>
      </c>
      <c r="D128" s="95" t="s">
        <v>67</v>
      </c>
      <c r="E128" s="95"/>
      <c r="F128" s="95"/>
      <c r="G128" s="188">
        <f>G129</f>
        <v>39027637.39</v>
      </c>
    </row>
    <row r="129" spans="1:7" s="73" customFormat="1" ht="12.75">
      <c r="A129" s="113" t="s">
        <v>96</v>
      </c>
      <c r="B129" s="144">
        <v>940</v>
      </c>
      <c r="C129" s="114" t="s">
        <v>87</v>
      </c>
      <c r="D129" s="114" t="s">
        <v>67</v>
      </c>
      <c r="E129" s="114" t="s">
        <v>135</v>
      </c>
      <c r="F129" s="114"/>
      <c r="G129" s="196">
        <f>G130+G144+G149</f>
        <v>39027637.39</v>
      </c>
    </row>
    <row r="130" spans="1:7" ht="25.5">
      <c r="A130" s="81" t="s">
        <v>187</v>
      </c>
      <c r="B130" s="143">
        <v>940</v>
      </c>
      <c r="C130" s="83" t="s">
        <v>87</v>
      </c>
      <c r="D130" s="83" t="s">
        <v>67</v>
      </c>
      <c r="E130" s="83" t="s">
        <v>138</v>
      </c>
      <c r="F130" s="83"/>
      <c r="G130" s="192">
        <f>G131</f>
        <v>37427637.39</v>
      </c>
    </row>
    <row r="131" spans="1:7" ht="25.5">
      <c r="A131" s="81" t="s">
        <v>139</v>
      </c>
      <c r="B131" s="143">
        <v>940</v>
      </c>
      <c r="C131" s="83" t="s">
        <v>87</v>
      </c>
      <c r="D131" s="83" t="s">
        <v>67</v>
      </c>
      <c r="E131" s="83" t="s">
        <v>141</v>
      </c>
      <c r="F131" s="83"/>
      <c r="G131" s="192">
        <f>G132</f>
        <v>37427637.39</v>
      </c>
    </row>
    <row r="132" spans="1:7" ht="25.5">
      <c r="A132" s="81" t="s">
        <v>220</v>
      </c>
      <c r="B132" s="143">
        <v>940</v>
      </c>
      <c r="C132" s="83" t="s">
        <v>87</v>
      </c>
      <c r="D132" s="83" t="s">
        <v>67</v>
      </c>
      <c r="E132" s="83" t="s">
        <v>142</v>
      </c>
      <c r="F132" s="83"/>
      <c r="G132" s="192">
        <f>G133+G137+G140</f>
        <v>37427637.39</v>
      </c>
    </row>
    <row r="133" spans="1:7" ht="63.75">
      <c r="A133" s="81" t="s">
        <v>140</v>
      </c>
      <c r="B133" s="143">
        <v>940</v>
      </c>
      <c r="C133" s="83" t="s">
        <v>87</v>
      </c>
      <c r="D133" s="83" t="s">
        <v>67</v>
      </c>
      <c r="E133" s="83" t="s">
        <v>142</v>
      </c>
      <c r="F133" s="83" t="s">
        <v>25</v>
      </c>
      <c r="G133" s="192">
        <f>G134+G135+G136</f>
        <v>29268837.64</v>
      </c>
    </row>
    <row r="134" spans="1:7" ht="12.75">
      <c r="A134" s="81" t="s">
        <v>214</v>
      </c>
      <c r="B134" s="143">
        <v>940</v>
      </c>
      <c r="C134" s="86" t="s">
        <v>87</v>
      </c>
      <c r="D134" s="86" t="s">
        <v>67</v>
      </c>
      <c r="E134" s="83" t="s">
        <v>142</v>
      </c>
      <c r="F134" s="83" t="s">
        <v>54</v>
      </c>
      <c r="G134" s="184">
        <f>26130800+7548250-3070131.11-63131.25-4214900-3800000</f>
        <v>22530887.64</v>
      </c>
    </row>
    <row r="135" spans="1:7" ht="25.5">
      <c r="A135" s="81" t="s">
        <v>216</v>
      </c>
      <c r="B135" s="143">
        <v>940</v>
      </c>
      <c r="C135" s="86" t="s">
        <v>87</v>
      </c>
      <c r="D135" s="86" t="s">
        <v>67</v>
      </c>
      <c r="E135" s="83" t="s">
        <v>142</v>
      </c>
      <c r="F135" s="83" t="s">
        <v>55</v>
      </c>
      <c r="G135" s="184">
        <v>650</v>
      </c>
    </row>
    <row r="136" spans="1:7" ht="51">
      <c r="A136" s="81" t="s">
        <v>215</v>
      </c>
      <c r="B136" s="143">
        <v>940</v>
      </c>
      <c r="C136" s="86" t="s">
        <v>87</v>
      </c>
      <c r="D136" s="86" t="s">
        <v>67</v>
      </c>
      <c r="E136" s="83" t="s">
        <v>142</v>
      </c>
      <c r="F136" s="83" t="s">
        <v>188</v>
      </c>
      <c r="G136" s="192">
        <f>7891500-650-1153550</f>
        <v>6737300</v>
      </c>
    </row>
    <row r="137" spans="1:7" ht="38.25">
      <c r="A137" s="64" t="s">
        <v>19</v>
      </c>
      <c r="B137" s="143">
        <v>940</v>
      </c>
      <c r="C137" s="86" t="s">
        <v>87</v>
      </c>
      <c r="D137" s="86" t="s">
        <v>67</v>
      </c>
      <c r="E137" s="83" t="s">
        <v>142</v>
      </c>
      <c r="F137" s="83" t="s">
        <v>20</v>
      </c>
      <c r="G137" s="192">
        <f>G138+G139</f>
        <v>7740249.75</v>
      </c>
    </row>
    <row r="138" spans="1:7" ht="25.5">
      <c r="A138" s="64" t="s">
        <v>39</v>
      </c>
      <c r="B138" s="143">
        <v>940</v>
      </c>
      <c r="C138" s="86" t="s">
        <v>87</v>
      </c>
      <c r="D138" s="86" t="s">
        <v>67</v>
      </c>
      <c r="E138" s="83" t="s">
        <v>142</v>
      </c>
      <c r="F138" s="83" t="s">
        <v>38</v>
      </c>
      <c r="G138" s="192">
        <f>70000+65000+30000+20000</f>
        <v>185000</v>
      </c>
    </row>
    <row r="139" spans="1:7" ht="38.25">
      <c r="A139" s="64" t="s">
        <v>178</v>
      </c>
      <c r="B139" s="82">
        <v>940</v>
      </c>
      <c r="C139" s="86" t="s">
        <v>87</v>
      </c>
      <c r="D139" s="86" t="s">
        <v>67</v>
      </c>
      <c r="E139" s="83" t="s">
        <v>142</v>
      </c>
      <c r="F139" s="83" t="s">
        <v>33</v>
      </c>
      <c r="G139" s="184">
        <f>47000+3195000+2445000+310000+100000+1570000+1750249.75-1862000</f>
        <v>7555249.75</v>
      </c>
    </row>
    <row r="140" spans="1:7" ht="12.75">
      <c r="A140" s="64" t="s">
        <v>21</v>
      </c>
      <c r="B140" s="82">
        <v>940</v>
      </c>
      <c r="C140" s="86" t="s">
        <v>87</v>
      </c>
      <c r="D140" s="86" t="s">
        <v>67</v>
      </c>
      <c r="E140" s="83" t="s">
        <v>142</v>
      </c>
      <c r="F140" s="83" t="s">
        <v>22</v>
      </c>
      <c r="G140" s="192">
        <f>G141+G142+G143</f>
        <v>418550</v>
      </c>
    </row>
    <row r="141" spans="1:7" ht="25.5">
      <c r="A141" s="64" t="s">
        <v>37</v>
      </c>
      <c r="B141" s="143">
        <v>940</v>
      </c>
      <c r="C141" s="86" t="s">
        <v>87</v>
      </c>
      <c r="D141" s="86" t="s">
        <v>67</v>
      </c>
      <c r="E141" s="83" t="s">
        <v>142</v>
      </c>
      <c r="F141" s="84" t="s">
        <v>35</v>
      </c>
      <c r="G141" s="192">
        <v>70000</v>
      </c>
    </row>
    <row r="142" spans="1:7" ht="12.75">
      <c r="A142" s="64" t="s">
        <v>212</v>
      </c>
      <c r="B142" s="143">
        <v>940</v>
      </c>
      <c r="C142" s="86" t="s">
        <v>87</v>
      </c>
      <c r="D142" s="86" t="s">
        <v>67</v>
      </c>
      <c r="E142" s="83" t="s">
        <v>142</v>
      </c>
      <c r="F142" s="84" t="s">
        <v>36</v>
      </c>
      <c r="G142" s="192">
        <v>200000</v>
      </c>
    </row>
    <row r="143" spans="1:7" ht="12.75">
      <c r="A143" s="64" t="s">
        <v>103</v>
      </c>
      <c r="B143" s="143">
        <v>940</v>
      </c>
      <c r="C143" s="86" t="s">
        <v>87</v>
      </c>
      <c r="D143" s="86" t="s">
        <v>67</v>
      </c>
      <c r="E143" s="83" t="s">
        <v>142</v>
      </c>
      <c r="F143" s="84" t="s">
        <v>102</v>
      </c>
      <c r="G143" s="192">
        <f>50000+98550</f>
        <v>148550</v>
      </c>
    </row>
    <row r="144" spans="1:7" ht="25.5">
      <c r="A144" s="64" t="s">
        <v>189</v>
      </c>
      <c r="B144" s="143">
        <v>940</v>
      </c>
      <c r="C144" s="86" t="s">
        <v>87</v>
      </c>
      <c r="D144" s="86" t="s">
        <v>67</v>
      </c>
      <c r="E144" s="86" t="s">
        <v>144</v>
      </c>
      <c r="F144" s="84"/>
      <c r="G144" s="192">
        <f>G145</f>
        <v>1350000</v>
      </c>
    </row>
    <row r="145" spans="1:7" ht="25.5">
      <c r="A145" s="81" t="s">
        <v>139</v>
      </c>
      <c r="B145" s="143">
        <v>940</v>
      </c>
      <c r="C145" s="86" t="s">
        <v>87</v>
      </c>
      <c r="D145" s="86" t="s">
        <v>67</v>
      </c>
      <c r="E145" s="86" t="s">
        <v>145</v>
      </c>
      <c r="F145" s="84"/>
      <c r="G145" s="192">
        <f>G146</f>
        <v>1350000</v>
      </c>
    </row>
    <row r="146" spans="1:7" ht="25.5">
      <c r="A146" s="64" t="s">
        <v>146</v>
      </c>
      <c r="B146" s="143">
        <v>940</v>
      </c>
      <c r="C146" s="86" t="s">
        <v>87</v>
      </c>
      <c r="D146" s="86" t="s">
        <v>67</v>
      </c>
      <c r="E146" s="86" t="s">
        <v>143</v>
      </c>
      <c r="F146" s="84"/>
      <c r="G146" s="192">
        <f>G147</f>
        <v>1350000</v>
      </c>
    </row>
    <row r="147" spans="1:7" ht="38.25">
      <c r="A147" s="64" t="s">
        <v>19</v>
      </c>
      <c r="B147" s="143">
        <v>940</v>
      </c>
      <c r="C147" s="86" t="s">
        <v>87</v>
      </c>
      <c r="D147" s="86" t="s">
        <v>67</v>
      </c>
      <c r="E147" s="86" t="s">
        <v>143</v>
      </c>
      <c r="F147" s="84" t="s">
        <v>20</v>
      </c>
      <c r="G147" s="192">
        <f>G148</f>
        <v>1350000</v>
      </c>
    </row>
    <row r="148" spans="1:7" ht="38.25">
      <c r="A148" s="64" t="s">
        <v>178</v>
      </c>
      <c r="B148" s="143">
        <v>940</v>
      </c>
      <c r="C148" s="86" t="s">
        <v>87</v>
      </c>
      <c r="D148" s="86" t="s">
        <v>67</v>
      </c>
      <c r="E148" s="86" t="s">
        <v>143</v>
      </c>
      <c r="F148" s="84" t="s">
        <v>33</v>
      </c>
      <c r="G148" s="191">
        <f>2000000-650000</f>
        <v>1350000</v>
      </c>
    </row>
    <row r="149" spans="1:7" ht="25.5">
      <c r="A149" s="85" t="s">
        <v>193</v>
      </c>
      <c r="B149" s="144">
        <v>940</v>
      </c>
      <c r="C149" s="115" t="s">
        <v>87</v>
      </c>
      <c r="D149" s="115" t="s">
        <v>67</v>
      </c>
      <c r="E149" s="115" t="s">
        <v>192</v>
      </c>
      <c r="F149" s="116"/>
      <c r="G149" s="191">
        <f>G150</f>
        <v>250000</v>
      </c>
    </row>
    <row r="150" spans="1:7" ht="25.5">
      <c r="A150" s="117" t="s">
        <v>139</v>
      </c>
      <c r="B150" s="144">
        <v>940</v>
      </c>
      <c r="C150" s="115" t="s">
        <v>87</v>
      </c>
      <c r="D150" s="115" t="s">
        <v>67</v>
      </c>
      <c r="E150" s="115" t="s">
        <v>195</v>
      </c>
      <c r="F150" s="116"/>
      <c r="G150" s="191">
        <f>G151</f>
        <v>250000</v>
      </c>
    </row>
    <row r="151" spans="1:7" ht="25.5">
      <c r="A151" s="85" t="s">
        <v>194</v>
      </c>
      <c r="B151" s="144">
        <v>940</v>
      </c>
      <c r="C151" s="115" t="s">
        <v>87</v>
      </c>
      <c r="D151" s="115" t="s">
        <v>67</v>
      </c>
      <c r="E151" s="115" t="s">
        <v>196</v>
      </c>
      <c r="F151" s="116"/>
      <c r="G151" s="191">
        <f>G152</f>
        <v>250000</v>
      </c>
    </row>
    <row r="152" spans="1:7" ht="38.25">
      <c r="A152" s="64" t="s">
        <v>19</v>
      </c>
      <c r="B152" s="144">
        <v>940</v>
      </c>
      <c r="C152" s="115" t="s">
        <v>87</v>
      </c>
      <c r="D152" s="115" t="s">
        <v>67</v>
      </c>
      <c r="E152" s="115" t="s">
        <v>196</v>
      </c>
      <c r="F152" s="116" t="s">
        <v>20</v>
      </c>
      <c r="G152" s="191">
        <f>G153</f>
        <v>250000</v>
      </c>
    </row>
    <row r="153" spans="1:7" ht="38.25">
      <c r="A153" s="64" t="s">
        <v>178</v>
      </c>
      <c r="B153" s="144">
        <v>940</v>
      </c>
      <c r="C153" s="115" t="s">
        <v>87</v>
      </c>
      <c r="D153" s="115" t="s">
        <v>67</v>
      </c>
      <c r="E153" s="115" t="s">
        <v>196</v>
      </c>
      <c r="F153" s="116" t="s">
        <v>33</v>
      </c>
      <c r="G153" s="191">
        <f>500000-250000</f>
        <v>250000</v>
      </c>
    </row>
    <row r="154" spans="1:7" ht="25.5">
      <c r="A154" s="118" t="s">
        <v>8</v>
      </c>
      <c r="B154" s="157">
        <v>940</v>
      </c>
      <c r="C154" s="119" t="s">
        <v>87</v>
      </c>
      <c r="D154" s="119" t="s">
        <v>73</v>
      </c>
      <c r="E154" s="119"/>
      <c r="F154" s="119"/>
      <c r="G154" s="197">
        <f>G155</f>
        <v>9821820</v>
      </c>
    </row>
    <row r="155" spans="1:7" s="10" customFormat="1" ht="12.75">
      <c r="A155" s="75" t="s">
        <v>112</v>
      </c>
      <c r="B155" s="143">
        <v>940</v>
      </c>
      <c r="C155" s="101" t="s">
        <v>87</v>
      </c>
      <c r="D155" s="101" t="s">
        <v>73</v>
      </c>
      <c r="E155" s="101" t="s">
        <v>113</v>
      </c>
      <c r="F155" s="101"/>
      <c r="G155" s="192">
        <f>G156</f>
        <v>9821820</v>
      </c>
    </row>
    <row r="156" spans="1:7" ht="12.75">
      <c r="A156" s="76" t="s">
        <v>147</v>
      </c>
      <c r="B156" s="143">
        <v>940</v>
      </c>
      <c r="C156" s="86" t="s">
        <v>87</v>
      </c>
      <c r="D156" s="86" t="s">
        <v>73</v>
      </c>
      <c r="E156" s="86" t="s">
        <v>148</v>
      </c>
      <c r="F156" s="86"/>
      <c r="G156" s="191">
        <f>G157+G160+G163</f>
        <v>9821820</v>
      </c>
    </row>
    <row r="157" spans="1:7" ht="63.75">
      <c r="A157" s="81" t="s">
        <v>140</v>
      </c>
      <c r="B157" s="82">
        <v>940</v>
      </c>
      <c r="C157" s="86" t="s">
        <v>87</v>
      </c>
      <c r="D157" s="86" t="s">
        <v>73</v>
      </c>
      <c r="E157" s="86" t="s">
        <v>148</v>
      </c>
      <c r="F157" s="86" t="s">
        <v>25</v>
      </c>
      <c r="G157" s="191">
        <f>G158+G159</f>
        <v>9378620</v>
      </c>
    </row>
    <row r="158" spans="1:7" ht="12.75">
      <c r="A158" s="81" t="s">
        <v>214</v>
      </c>
      <c r="B158" s="143">
        <v>940</v>
      </c>
      <c r="C158" s="86" t="s">
        <v>87</v>
      </c>
      <c r="D158" s="86" t="s">
        <v>73</v>
      </c>
      <c r="E158" s="86" t="s">
        <v>148</v>
      </c>
      <c r="F158" s="83" t="s">
        <v>54</v>
      </c>
      <c r="G158" s="191">
        <f>8294000+2395900-400000-1795900-1407380</f>
        <v>7086620</v>
      </c>
    </row>
    <row r="159" spans="1:7" ht="51">
      <c r="A159" s="81" t="s">
        <v>215</v>
      </c>
      <c r="B159" s="143">
        <v>940</v>
      </c>
      <c r="C159" s="86" t="s">
        <v>87</v>
      </c>
      <c r="D159" s="86" t="s">
        <v>73</v>
      </c>
      <c r="E159" s="86" t="s">
        <v>148</v>
      </c>
      <c r="F159" s="83" t="s">
        <v>188</v>
      </c>
      <c r="G159" s="191">
        <f>2504800+187200-400000</f>
        <v>2292000</v>
      </c>
    </row>
    <row r="160" spans="1:7" ht="38.25">
      <c r="A160" s="64" t="s">
        <v>19</v>
      </c>
      <c r="B160" s="143">
        <v>940</v>
      </c>
      <c r="C160" s="86" t="s">
        <v>87</v>
      </c>
      <c r="D160" s="86" t="s">
        <v>73</v>
      </c>
      <c r="E160" s="86" t="s">
        <v>148</v>
      </c>
      <c r="F160" s="83" t="s">
        <v>20</v>
      </c>
      <c r="G160" s="191">
        <f>G161+G162</f>
        <v>388200</v>
      </c>
    </row>
    <row r="161" spans="1:7" ht="25.5">
      <c r="A161" s="64" t="s">
        <v>39</v>
      </c>
      <c r="B161" s="143">
        <v>940</v>
      </c>
      <c r="C161" s="86" t="s">
        <v>87</v>
      </c>
      <c r="D161" s="86" t="s">
        <v>73</v>
      </c>
      <c r="E161" s="86" t="s">
        <v>148</v>
      </c>
      <c r="F161" s="83" t="s">
        <v>38</v>
      </c>
      <c r="G161" s="191">
        <f>24000+96000+100000+200000+15000+52000+30000-181000</f>
        <v>336000</v>
      </c>
    </row>
    <row r="162" spans="1:7" ht="38.25">
      <c r="A162" s="64" t="s">
        <v>178</v>
      </c>
      <c r="B162" s="143">
        <v>940</v>
      </c>
      <c r="C162" s="86" t="s">
        <v>87</v>
      </c>
      <c r="D162" s="86" t="s">
        <v>73</v>
      </c>
      <c r="E162" s="86" t="s">
        <v>148</v>
      </c>
      <c r="F162" s="83" t="s">
        <v>33</v>
      </c>
      <c r="G162" s="191">
        <f>12000+10000+20000+5000+60000+10000-64800</f>
        <v>52200</v>
      </c>
    </row>
    <row r="163" spans="1:7" ht="12.75">
      <c r="A163" s="64" t="s">
        <v>21</v>
      </c>
      <c r="B163" s="143">
        <v>940</v>
      </c>
      <c r="C163" s="86" t="s">
        <v>87</v>
      </c>
      <c r="D163" s="86" t="s">
        <v>73</v>
      </c>
      <c r="E163" s="86" t="s">
        <v>148</v>
      </c>
      <c r="F163" s="83" t="s">
        <v>22</v>
      </c>
      <c r="G163" s="191">
        <f>G164+G165+G166</f>
        <v>55000</v>
      </c>
    </row>
    <row r="164" spans="1:7" ht="25.5">
      <c r="A164" s="64" t="s">
        <v>37</v>
      </c>
      <c r="B164" s="143">
        <v>940</v>
      </c>
      <c r="C164" s="86" t="s">
        <v>87</v>
      </c>
      <c r="D164" s="86" t="s">
        <v>73</v>
      </c>
      <c r="E164" s="86" t="s">
        <v>148</v>
      </c>
      <c r="F164" s="84" t="s">
        <v>35</v>
      </c>
      <c r="G164" s="191">
        <v>5000</v>
      </c>
    </row>
    <row r="165" spans="1:7" ht="12.75">
      <c r="A165" s="64" t="s">
        <v>212</v>
      </c>
      <c r="B165" s="143">
        <v>940</v>
      </c>
      <c r="C165" s="86" t="s">
        <v>87</v>
      </c>
      <c r="D165" s="86" t="s">
        <v>73</v>
      </c>
      <c r="E165" s="86" t="s">
        <v>148</v>
      </c>
      <c r="F165" s="84" t="s">
        <v>36</v>
      </c>
      <c r="G165" s="191">
        <v>10000</v>
      </c>
    </row>
    <row r="166" spans="1:7" ht="12.75">
      <c r="A166" s="64" t="s">
        <v>103</v>
      </c>
      <c r="B166" s="82">
        <v>940</v>
      </c>
      <c r="C166" s="86" t="s">
        <v>87</v>
      </c>
      <c r="D166" s="86" t="s">
        <v>73</v>
      </c>
      <c r="E166" s="86" t="s">
        <v>148</v>
      </c>
      <c r="F166" s="84" t="s">
        <v>102</v>
      </c>
      <c r="G166" s="191">
        <f>50000-10000</f>
        <v>40000</v>
      </c>
    </row>
    <row r="167" spans="1:7" ht="12.75">
      <c r="A167" s="107" t="s">
        <v>9</v>
      </c>
      <c r="B167" s="148" t="s">
        <v>42</v>
      </c>
      <c r="C167" s="93" t="s">
        <v>89</v>
      </c>
      <c r="D167" s="120"/>
      <c r="E167" s="120"/>
      <c r="F167" s="120"/>
      <c r="G167" s="190">
        <f>G168</f>
        <v>310000</v>
      </c>
    </row>
    <row r="168" spans="1:7" ht="12.75">
      <c r="A168" s="121" t="s">
        <v>10</v>
      </c>
      <c r="B168" s="158" t="s">
        <v>42</v>
      </c>
      <c r="C168" s="122" t="s">
        <v>89</v>
      </c>
      <c r="D168" s="123" t="s">
        <v>67</v>
      </c>
      <c r="E168" s="123"/>
      <c r="F168" s="123"/>
      <c r="G168" s="186">
        <f>G169</f>
        <v>310000</v>
      </c>
    </row>
    <row r="169" spans="1:7" ht="12.75">
      <c r="A169" s="124" t="s">
        <v>112</v>
      </c>
      <c r="B169" s="159" t="s">
        <v>42</v>
      </c>
      <c r="C169" s="83" t="s">
        <v>89</v>
      </c>
      <c r="D169" s="125" t="s">
        <v>67</v>
      </c>
      <c r="E169" s="125" t="s">
        <v>113</v>
      </c>
      <c r="F169" s="125"/>
      <c r="G169" s="189">
        <f>G170</f>
        <v>310000</v>
      </c>
    </row>
    <row r="170" spans="1:7" ht="12.75">
      <c r="A170" s="124" t="s">
        <v>149</v>
      </c>
      <c r="B170" s="159" t="s">
        <v>42</v>
      </c>
      <c r="C170" s="83" t="s">
        <v>89</v>
      </c>
      <c r="D170" s="125" t="s">
        <v>67</v>
      </c>
      <c r="E170" s="125" t="s">
        <v>150</v>
      </c>
      <c r="F170" s="125"/>
      <c r="G170" s="189">
        <f>G171</f>
        <v>310000</v>
      </c>
    </row>
    <row r="171" spans="1:7" ht="25.5">
      <c r="A171" s="64" t="s">
        <v>151</v>
      </c>
      <c r="B171" s="159" t="s">
        <v>42</v>
      </c>
      <c r="C171" s="83" t="s">
        <v>89</v>
      </c>
      <c r="D171" s="125" t="s">
        <v>67</v>
      </c>
      <c r="E171" s="125" t="s">
        <v>150</v>
      </c>
      <c r="F171" s="125" t="s">
        <v>152</v>
      </c>
      <c r="G171" s="189">
        <f>G172</f>
        <v>310000</v>
      </c>
    </row>
    <row r="172" spans="1:7" ht="38.25">
      <c r="A172" s="124" t="s">
        <v>100</v>
      </c>
      <c r="B172" s="159" t="s">
        <v>42</v>
      </c>
      <c r="C172" s="83" t="s">
        <v>89</v>
      </c>
      <c r="D172" s="125" t="s">
        <v>67</v>
      </c>
      <c r="E172" s="160" t="s">
        <v>150</v>
      </c>
      <c r="F172" s="125" t="s">
        <v>99</v>
      </c>
      <c r="G172" s="189">
        <v>310000</v>
      </c>
    </row>
    <row r="173" spans="1:7" ht="12.75">
      <c r="A173" s="92" t="s">
        <v>11</v>
      </c>
      <c r="B173" s="137">
        <v>940</v>
      </c>
      <c r="C173" s="93" t="s">
        <v>77</v>
      </c>
      <c r="D173" s="93"/>
      <c r="E173" s="93"/>
      <c r="F173" s="93"/>
      <c r="G173" s="190">
        <f>G174+G190</f>
        <v>17209583</v>
      </c>
    </row>
    <row r="174" spans="1:7" ht="12.75">
      <c r="A174" s="104" t="s">
        <v>12</v>
      </c>
      <c r="B174" s="145" t="s">
        <v>42</v>
      </c>
      <c r="C174" s="95" t="s">
        <v>77</v>
      </c>
      <c r="D174" s="126" t="s">
        <v>67</v>
      </c>
      <c r="E174" s="126"/>
      <c r="F174" s="126"/>
      <c r="G174" s="188">
        <f>G175</f>
        <v>16429583</v>
      </c>
    </row>
    <row r="175" spans="1:7" s="73" customFormat="1" ht="25.5">
      <c r="A175" s="127" t="s">
        <v>97</v>
      </c>
      <c r="B175" s="161" t="s">
        <v>42</v>
      </c>
      <c r="C175" s="114" t="s">
        <v>77</v>
      </c>
      <c r="D175" s="128" t="s">
        <v>67</v>
      </c>
      <c r="E175" s="128" t="s">
        <v>153</v>
      </c>
      <c r="F175" s="128"/>
      <c r="G175" s="196">
        <f>G176</f>
        <v>16429583</v>
      </c>
    </row>
    <row r="176" spans="1:7" ht="25.5">
      <c r="A176" s="124" t="s">
        <v>154</v>
      </c>
      <c r="B176" s="159" t="s">
        <v>42</v>
      </c>
      <c r="C176" s="83" t="s">
        <v>77</v>
      </c>
      <c r="D176" s="125" t="s">
        <v>67</v>
      </c>
      <c r="E176" s="125" t="s">
        <v>155</v>
      </c>
      <c r="F176" s="125"/>
      <c r="G176" s="189">
        <f>G177</f>
        <v>16429583</v>
      </c>
    </row>
    <row r="177" spans="1:7" ht="25.5">
      <c r="A177" s="81" t="s">
        <v>139</v>
      </c>
      <c r="B177" s="150">
        <v>940</v>
      </c>
      <c r="C177" s="83" t="s">
        <v>77</v>
      </c>
      <c r="D177" s="125" t="s">
        <v>67</v>
      </c>
      <c r="E177" s="125" t="s">
        <v>156</v>
      </c>
      <c r="F177" s="125"/>
      <c r="G177" s="189">
        <f>G178</f>
        <v>16429583</v>
      </c>
    </row>
    <row r="178" spans="1:7" ht="12.75">
      <c r="A178" s="81" t="s">
        <v>157</v>
      </c>
      <c r="B178" s="150">
        <v>940</v>
      </c>
      <c r="C178" s="83" t="s">
        <v>77</v>
      </c>
      <c r="D178" s="125" t="s">
        <v>67</v>
      </c>
      <c r="E178" s="125" t="s">
        <v>158</v>
      </c>
      <c r="F178" s="125"/>
      <c r="G178" s="189">
        <f>G179+G183+G186</f>
        <v>16429583</v>
      </c>
    </row>
    <row r="179" spans="1:7" ht="25.5">
      <c r="A179" s="64" t="s">
        <v>24</v>
      </c>
      <c r="B179" s="150">
        <v>940</v>
      </c>
      <c r="C179" s="83" t="s">
        <v>77</v>
      </c>
      <c r="D179" s="125" t="s">
        <v>67</v>
      </c>
      <c r="E179" s="125" t="s">
        <v>158</v>
      </c>
      <c r="F179" s="125" t="s">
        <v>25</v>
      </c>
      <c r="G179" s="189">
        <f>G180+G181+G182</f>
        <v>13353883</v>
      </c>
    </row>
    <row r="180" spans="1:7" ht="12.75">
      <c r="A180" s="81" t="s">
        <v>214</v>
      </c>
      <c r="B180" s="139">
        <v>940</v>
      </c>
      <c r="C180" s="83" t="s">
        <v>77</v>
      </c>
      <c r="D180" s="125" t="s">
        <v>67</v>
      </c>
      <c r="E180" s="125" t="s">
        <v>158</v>
      </c>
      <c r="F180" s="83" t="s">
        <v>54</v>
      </c>
      <c r="G180" s="184">
        <f>12022900+3472883-800000-2472800-2000000</f>
        <v>10222983</v>
      </c>
    </row>
    <row r="181" spans="1:7" ht="25.5">
      <c r="A181" s="81" t="s">
        <v>216</v>
      </c>
      <c r="B181" s="139">
        <v>940</v>
      </c>
      <c r="C181" s="83" t="s">
        <v>77</v>
      </c>
      <c r="D181" s="125" t="s">
        <v>67</v>
      </c>
      <c r="E181" s="125" t="s">
        <v>158</v>
      </c>
      <c r="F181" s="83" t="s">
        <v>55</v>
      </c>
      <c r="G181" s="189">
        <v>600</v>
      </c>
    </row>
    <row r="182" spans="1:7" ht="51">
      <c r="A182" s="81" t="s">
        <v>215</v>
      </c>
      <c r="B182" s="139">
        <v>940</v>
      </c>
      <c r="C182" s="83" t="s">
        <v>77</v>
      </c>
      <c r="D182" s="125" t="s">
        <v>67</v>
      </c>
      <c r="E182" s="125" t="s">
        <v>158</v>
      </c>
      <c r="F182" s="83" t="s">
        <v>188</v>
      </c>
      <c r="G182" s="189">
        <f>3630900-600-500000</f>
        <v>3130300</v>
      </c>
    </row>
    <row r="183" spans="1:7" ht="38.25">
      <c r="A183" s="64" t="s">
        <v>19</v>
      </c>
      <c r="B183" s="139">
        <v>940</v>
      </c>
      <c r="C183" s="83" t="s">
        <v>77</v>
      </c>
      <c r="D183" s="125" t="s">
        <v>67</v>
      </c>
      <c r="E183" s="125" t="s">
        <v>158</v>
      </c>
      <c r="F183" s="83" t="s">
        <v>20</v>
      </c>
      <c r="G183" s="189">
        <f>G184+G185</f>
        <v>2955700</v>
      </c>
    </row>
    <row r="184" spans="1:7" ht="25.5">
      <c r="A184" s="64" t="s">
        <v>39</v>
      </c>
      <c r="B184" s="139">
        <v>940</v>
      </c>
      <c r="C184" s="83" t="s">
        <v>77</v>
      </c>
      <c r="D184" s="125" t="s">
        <v>67</v>
      </c>
      <c r="E184" s="125" t="s">
        <v>158</v>
      </c>
      <c r="F184" s="83" t="s">
        <v>38</v>
      </c>
      <c r="G184" s="189">
        <f>6000+5000+4000</f>
        <v>15000</v>
      </c>
    </row>
    <row r="185" spans="1:7" ht="38.25">
      <c r="A185" s="64" t="s">
        <v>178</v>
      </c>
      <c r="B185" s="82">
        <v>940</v>
      </c>
      <c r="C185" s="83" t="s">
        <v>77</v>
      </c>
      <c r="D185" s="125" t="s">
        <v>67</v>
      </c>
      <c r="E185" s="125" t="s">
        <v>158</v>
      </c>
      <c r="F185" s="83" t="s">
        <v>33</v>
      </c>
      <c r="G185" s="184">
        <f>19200+50000+125000+750000+461000+79000+13000+225000+660000+558500</f>
        <v>2940700</v>
      </c>
    </row>
    <row r="186" spans="1:7" ht="13.5" customHeight="1">
      <c r="A186" s="64" t="s">
        <v>21</v>
      </c>
      <c r="B186" s="82">
        <v>940</v>
      </c>
      <c r="C186" s="83" t="s">
        <v>77</v>
      </c>
      <c r="D186" s="125" t="s">
        <v>67</v>
      </c>
      <c r="E186" s="125" t="s">
        <v>158</v>
      </c>
      <c r="F186" s="84" t="s">
        <v>22</v>
      </c>
      <c r="G186" s="189">
        <f>G187+G188+G189</f>
        <v>120000</v>
      </c>
    </row>
    <row r="187" spans="1:7" ht="25.5">
      <c r="A187" s="64" t="s">
        <v>37</v>
      </c>
      <c r="B187" s="82">
        <v>940</v>
      </c>
      <c r="C187" s="83" t="s">
        <v>77</v>
      </c>
      <c r="D187" s="125" t="s">
        <v>67</v>
      </c>
      <c r="E187" s="125" t="s">
        <v>158</v>
      </c>
      <c r="F187" s="84" t="s">
        <v>35</v>
      </c>
      <c r="G187" s="189">
        <v>60000</v>
      </c>
    </row>
    <row r="188" spans="1:7" ht="12.75">
      <c r="A188" s="64" t="s">
        <v>212</v>
      </c>
      <c r="B188" s="82">
        <v>940</v>
      </c>
      <c r="C188" s="83" t="s">
        <v>77</v>
      </c>
      <c r="D188" s="125" t="s">
        <v>67</v>
      </c>
      <c r="E188" s="125" t="s">
        <v>158</v>
      </c>
      <c r="F188" s="84" t="s">
        <v>36</v>
      </c>
      <c r="G188" s="189">
        <v>10000</v>
      </c>
    </row>
    <row r="189" spans="1:7" ht="12.75">
      <c r="A189" s="64" t="s">
        <v>103</v>
      </c>
      <c r="B189" s="82">
        <v>940</v>
      </c>
      <c r="C189" s="83" t="s">
        <v>77</v>
      </c>
      <c r="D189" s="125" t="s">
        <v>67</v>
      </c>
      <c r="E189" s="125" t="s">
        <v>158</v>
      </c>
      <c r="F189" s="84" t="s">
        <v>102</v>
      </c>
      <c r="G189" s="189">
        <v>50000</v>
      </c>
    </row>
    <row r="190" spans="1:7" ht="12.75">
      <c r="A190" s="129" t="s">
        <v>13</v>
      </c>
      <c r="B190" s="162">
        <v>940</v>
      </c>
      <c r="C190" s="122" t="s">
        <v>77</v>
      </c>
      <c r="D190" s="123" t="s">
        <v>69</v>
      </c>
      <c r="E190" s="130"/>
      <c r="F190" s="130"/>
      <c r="G190" s="198">
        <f aca="true" t="shared" si="0" ref="G190:G195">G191</f>
        <v>780000</v>
      </c>
    </row>
    <row r="191" spans="1:7" ht="25.5">
      <c r="A191" s="127" t="s">
        <v>97</v>
      </c>
      <c r="B191" s="159" t="s">
        <v>42</v>
      </c>
      <c r="C191" s="83" t="s">
        <v>77</v>
      </c>
      <c r="D191" s="125" t="s">
        <v>69</v>
      </c>
      <c r="E191" s="125" t="s">
        <v>153</v>
      </c>
      <c r="F191" s="125"/>
      <c r="G191" s="189">
        <f t="shared" si="0"/>
        <v>780000</v>
      </c>
    </row>
    <row r="192" spans="1:7" ht="25.5">
      <c r="A192" s="124" t="s">
        <v>159</v>
      </c>
      <c r="B192" s="159" t="s">
        <v>42</v>
      </c>
      <c r="C192" s="83" t="s">
        <v>77</v>
      </c>
      <c r="D192" s="125" t="s">
        <v>69</v>
      </c>
      <c r="E192" s="125" t="s">
        <v>160</v>
      </c>
      <c r="F192" s="125"/>
      <c r="G192" s="189">
        <f t="shared" si="0"/>
        <v>780000</v>
      </c>
    </row>
    <row r="193" spans="1:7" ht="25.5">
      <c r="A193" s="81" t="s">
        <v>139</v>
      </c>
      <c r="B193" s="159" t="s">
        <v>42</v>
      </c>
      <c r="C193" s="83" t="s">
        <v>77</v>
      </c>
      <c r="D193" s="125" t="s">
        <v>69</v>
      </c>
      <c r="E193" s="125" t="s">
        <v>161</v>
      </c>
      <c r="F193" s="125"/>
      <c r="G193" s="189">
        <f t="shared" si="0"/>
        <v>780000</v>
      </c>
    </row>
    <row r="194" spans="1:7" ht="25.5">
      <c r="A194" s="81" t="s">
        <v>162</v>
      </c>
      <c r="B194" s="159" t="s">
        <v>42</v>
      </c>
      <c r="C194" s="83" t="s">
        <v>77</v>
      </c>
      <c r="D194" s="125" t="s">
        <v>69</v>
      </c>
      <c r="E194" s="125" t="s">
        <v>163</v>
      </c>
      <c r="F194" s="125"/>
      <c r="G194" s="189">
        <f t="shared" si="0"/>
        <v>780000</v>
      </c>
    </row>
    <row r="195" spans="1:7" ht="38.25">
      <c r="A195" s="64" t="s">
        <v>19</v>
      </c>
      <c r="B195" s="159" t="s">
        <v>42</v>
      </c>
      <c r="C195" s="83" t="s">
        <v>77</v>
      </c>
      <c r="D195" s="125" t="s">
        <v>69</v>
      </c>
      <c r="E195" s="125" t="s">
        <v>163</v>
      </c>
      <c r="F195" s="125" t="s">
        <v>20</v>
      </c>
      <c r="G195" s="189">
        <f t="shared" si="0"/>
        <v>780000</v>
      </c>
    </row>
    <row r="196" spans="1:7" ht="38.25">
      <c r="A196" s="64" t="s">
        <v>178</v>
      </c>
      <c r="B196" s="82">
        <v>940</v>
      </c>
      <c r="C196" s="83" t="s">
        <v>77</v>
      </c>
      <c r="D196" s="125" t="s">
        <v>69</v>
      </c>
      <c r="E196" s="125" t="s">
        <v>163</v>
      </c>
      <c r="F196" s="83" t="s">
        <v>33</v>
      </c>
      <c r="G196" s="189">
        <v>780000</v>
      </c>
    </row>
    <row r="197" spans="1:7" ht="12.75">
      <c r="A197" s="131" t="s">
        <v>14</v>
      </c>
      <c r="B197" s="163">
        <v>940</v>
      </c>
      <c r="C197" s="132" t="s">
        <v>92</v>
      </c>
      <c r="D197" s="132"/>
      <c r="E197" s="132"/>
      <c r="F197" s="132"/>
      <c r="G197" s="199">
        <f>G198</f>
        <v>3616900</v>
      </c>
    </row>
    <row r="198" spans="1:7" ht="12.75">
      <c r="A198" s="129" t="s">
        <v>217</v>
      </c>
      <c r="B198" s="162">
        <v>940</v>
      </c>
      <c r="C198" s="130" t="s">
        <v>92</v>
      </c>
      <c r="D198" s="130" t="s">
        <v>69</v>
      </c>
      <c r="E198" s="130"/>
      <c r="F198" s="130"/>
      <c r="G198" s="198">
        <f>G199</f>
        <v>3616900</v>
      </c>
    </row>
    <row r="199" spans="1:7" ht="25.5">
      <c r="A199" s="76" t="s">
        <v>98</v>
      </c>
      <c r="B199" s="150">
        <v>940</v>
      </c>
      <c r="C199" s="84" t="s">
        <v>92</v>
      </c>
      <c r="D199" s="84" t="s">
        <v>69</v>
      </c>
      <c r="E199" s="86" t="s">
        <v>164</v>
      </c>
      <c r="F199" s="86"/>
      <c r="G199" s="185">
        <f>G200</f>
        <v>3616900</v>
      </c>
    </row>
    <row r="200" spans="1:7" ht="25.5">
      <c r="A200" s="76" t="s">
        <v>165</v>
      </c>
      <c r="B200" s="150">
        <v>940</v>
      </c>
      <c r="C200" s="84" t="s">
        <v>92</v>
      </c>
      <c r="D200" s="84" t="s">
        <v>69</v>
      </c>
      <c r="E200" s="86" t="s">
        <v>166</v>
      </c>
      <c r="F200" s="86"/>
      <c r="G200" s="172">
        <f>G201</f>
        <v>3616900</v>
      </c>
    </row>
    <row r="201" spans="1:7" ht="25.5">
      <c r="A201" s="81" t="s">
        <v>139</v>
      </c>
      <c r="B201" s="150">
        <v>940</v>
      </c>
      <c r="C201" s="84" t="s">
        <v>92</v>
      </c>
      <c r="D201" s="84" t="s">
        <v>69</v>
      </c>
      <c r="E201" s="86" t="s">
        <v>167</v>
      </c>
      <c r="F201" s="86"/>
      <c r="G201" s="172">
        <f>G202</f>
        <v>3616900</v>
      </c>
    </row>
    <row r="202" spans="1:7" ht="12.75">
      <c r="A202" s="76" t="s">
        <v>168</v>
      </c>
      <c r="B202" s="150">
        <v>940</v>
      </c>
      <c r="C202" s="84" t="s">
        <v>92</v>
      </c>
      <c r="D202" s="84" t="s">
        <v>69</v>
      </c>
      <c r="E202" s="86" t="s">
        <v>169</v>
      </c>
      <c r="F202" s="86"/>
      <c r="G202" s="172">
        <f>G203+G207+G210</f>
        <v>3616900</v>
      </c>
    </row>
    <row r="203" spans="1:7" ht="25.5">
      <c r="A203" s="64" t="s">
        <v>24</v>
      </c>
      <c r="B203" s="150">
        <v>940</v>
      </c>
      <c r="C203" s="84" t="s">
        <v>92</v>
      </c>
      <c r="D203" s="84" t="s">
        <v>69</v>
      </c>
      <c r="E203" s="86" t="s">
        <v>169</v>
      </c>
      <c r="F203" s="86" t="s">
        <v>25</v>
      </c>
      <c r="G203" s="172">
        <f>G204+G205+G206</f>
        <v>2493600</v>
      </c>
    </row>
    <row r="204" spans="1:7" ht="12.75">
      <c r="A204" s="81" t="s">
        <v>214</v>
      </c>
      <c r="B204" s="139">
        <v>940</v>
      </c>
      <c r="C204" s="84" t="s">
        <v>92</v>
      </c>
      <c r="D204" s="84" t="s">
        <v>69</v>
      </c>
      <c r="E204" s="86" t="s">
        <v>169</v>
      </c>
      <c r="F204" s="83" t="s">
        <v>54</v>
      </c>
      <c r="G204" s="172">
        <f>3152700+910700-700700-1600000</f>
        <v>1762700</v>
      </c>
    </row>
    <row r="205" spans="1:7" ht="25.5">
      <c r="A205" s="81" t="s">
        <v>216</v>
      </c>
      <c r="B205" s="139">
        <v>940</v>
      </c>
      <c r="C205" s="84" t="s">
        <v>92</v>
      </c>
      <c r="D205" s="84" t="s">
        <v>69</v>
      </c>
      <c r="E205" s="86" t="s">
        <v>169</v>
      </c>
      <c r="F205" s="83" t="s">
        <v>55</v>
      </c>
      <c r="G205" s="172">
        <v>5000</v>
      </c>
    </row>
    <row r="206" spans="1:7" ht="51">
      <c r="A206" s="81" t="s">
        <v>215</v>
      </c>
      <c r="B206" s="139">
        <v>940</v>
      </c>
      <c r="C206" s="84" t="s">
        <v>92</v>
      </c>
      <c r="D206" s="84" t="s">
        <v>69</v>
      </c>
      <c r="E206" s="86" t="s">
        <v>169</v>
      </c>
      <c r="F206" s="83" t="s">
        <v>188</v>
      </c>
      <c r="G206" s="172">
        <f>952100+163800-390000</f>
        <v>725900</v>
      </c>
    </row>
    <row r="207" spans="1:7" ht="38.25">
      <c r="A207" s="64" t="s">
        <v>19</v>
      </c>
      <c r="B207" s="139">
        <v>940</v>
      </c>
      <c r="C207" s="84" t="s">
        <v>92</v>
      </c>
      <c r="D207" s="84" t="s">
        <v>69</v>
      </c>
      <c r="E207" s="86" t="s">
        <v>169</v>
      </c>
      <c r="F207" s="83" t="s">
        <v>20</v>
      </c>
      <c r="G207" s="172">
        <f>G208+G209</f>
        <v>1029300</v>
      </c>
    </row>
    <row r="208" spans="1:7" ht="25.5">
      <c r="A208" s="64" t="s">
        <v>39</v>
      </c>
      <c r="B208" s="139">
        <v>940</v>
      </c>
      <c r="C208" s="84" t="s">
        <v>92</v>
      </c>
      <c r="D208" s="84" t="s">
        <v>69</v>
      </c>
      <c r="E208" s="86" t="s">
        <v>169</v>
      </c>
      <c r="F208" s="83" t="s">
        <v>38</v>
      </c>
      <c r="G208" s="172">
        <f>215200+180000+35000+150000+50000+70000-103200</f>
        <v>597000</v>
      </c>
    </row>
    <row r="209" spans="1:7" ht="38.25">
      <c r="A209" s="64" t="s">
        <v>178</v>
      </c>
      <c r="B209" s="139">
        <v>940</v>
      </c>
      <c r="C209" s="84" t="s">
        <v>92</v>
      </c>
      <c r="D209" s="84" t="s">
        <v>69</v>
      </c>
      <c r="E209" s="86" t="s">
        <v>169</v>
      </c>
      <c r="F209" s="83" t="s">
        <v>33</v>
      </c>
      <c r="G209" s="172">
        <f>25200+960000+343200+120000+50000+100000+50000+200000-1416100</f>
        <v>432300</v>
      </c>
    </row>
    <row r="210" spans="1:7" ht="12.75">
      <c r="A210" s="64" t="s">
        <v>21</v>
      </c>
      <c r="B210" s="139">
        <v>940</v>
      </c>
      <c r="C210" s="84" t="s">
        <v>92</v>
      </c>
      <c r="D210" s="84" t="s">
        <v>69</v>
      </c>
      <c r="E210" s="86" t="s">
        <v>169</v>
      </c>
      <c r="F210" s="83" t="s">
        <v>22</v>
      </c>
      <c r="G210" s="172">
        <f>G211+G212+G213</f>
        <v>94000</v>
      </c>
    </row>
    <row r="211" spans="1:7" ht="25.5">
      <c r="A211" s="64" t="s">
        <v>37</v>
      </c>
      <c r="B211" s="139">
        <v>940</v>
      </c>
      <c r="C211" s="84" t="s">
        <v>92</v>
      </c>
      <c r="D211" s="84" t="s">
        <v>69</v>
      </c>
      <c r="E211" s="86" t="s">
        <v>169</v>
      </c>
      <c r="F211" s="84" t="s">
        <v>35</v>
      </c>
      <c r="G211" s="172">
        <v>40000</v>
      </c>
    </row>
    <row r="212" spans="1:7" ht="12.75">
      <c r="A212" s="64" t="s">
        <v>212</v>
      </c>
      <c r="B212" s="139">
        <v>940</v>
      </c>
      <c r="C212" s="84" t="s">
        <v>92</v>
      </c>
      <c r="D212" s="84" t="s">
        <v>69</v>
      </c>
      <c r="E212" s="86" t="s">
        <v>169</v>
      </c>
      <c r="F212" s="84" t="s">
        <v>36</v>
      </c>
      <c r="G212" s="172">
        <v>4000</v>
      </c>
    </row>
    <row r="213" spans="1:7" ht="12.75">
      <c r="A213" s="87" t="s">
        <v>103</v>
      </c>
      <c r="B213" s="139">
        <v>940</v>
      </c>
      <c r="C213" s="84" t="s">
        <v>92</v>
      </c>
      <c r="D213" s="84" t="s">
        <v>69</v>
      </c>
      <c r="E213" s="86" t="s">
        <v>169</v>
      </c>
      <c r="F213" s="84" t="s">
        <v>102</v>
      </c>
      <c r="G213" s="172">
        <v>50000</v>
      </c>
    </row>
    <row r="214" spans="1:7" ht="25.5">
      <c r="A214" s="90" t="s">
        <v>43</v>
      </c>
      <c r="B214" s="136">
        <v>941</v>
      </c>
      <c r="C214" s="91"/>
      <c r="D214" s="91"/>
      <c r="E214" s="91"/>
      <c r="F214" s="91"/>
      <c r="G214" s="179">
        <f>G215</f>
        <v>1595242.35</v>
      </c>
    </row>
    <row r="215" spans="1:7" ht="51">
      <c r="A215" s="140" t="s">
        <v>70</v>
      </c>
      <c r="B215" s="141">
        <v>941</v>
      </c>
      <c r="C215" s="122" t="s">
        <v>67</v>
      </c>
      <c r="D215" s="122" t="s">
        <v>71</v>
      </c>
      <c r="E215" s="122"/>
      <c r="F215" s="122"/>
      <c r="G215" s="200">
        <f>G216</f>
        <v>1595242.35</v>
      </c>
    </row>
    <row r="216" spans="1:7" ht="25.5">
      <c r="A216" s="81" t="s">
        <v>111</v>
      </c>
      <c r="B216" s="164">
        <v>941</v>
      </c>
      <c r="C216" s="98" t="s">
        <v>67</v>
      </c>
      <c r="D216" s="98" t="s">
        <v>71</v>
      </c>
      <c r="E216" s="98" t="s">
        <v>109</v>
      </c>
      <c r="F216" s="98"/>
      <c r="G216" s="201">
        <f>G217+G222</f>
        <v>1595242.35</v>
      </c>
    </row>
    <row r="217" spans="1:7" ht="25.5">
      <c r="A217" s="81" t="s">
        <v>26</v>
      </c>
      <c r="B217" s="139">
        <v>941</v>
      </c>
      <c r="C217" s="83" t="s">
        <v>67</v>
      </c>
      <c r="D217" s="83" t="s">
        <v>71</v>
      </c>
      <c r="E217" s="83" t="s">
        <v>170</v>
      </c>
      <c r="F217" s="83"/>
      <c r="G217" s="183">
        <f>G218</f>
        <v>622730.3500000001</v>
      </c>
    </row>
    <row r="218" spans="1:7" ht="25.5">
      <c r="A218" s="81" t="s">
        <v>17</v>
      </c>
      <c r="B218" s="139">
        <v>941</v>
      </c>
      <c r="C218" s="83" t="s">
        <v>67</v>
      </c>
      <c r="D218" s="83" t="s">
        <v>71</v>
      </c>
      <c r="E218" s="83" t="s">
        <v>170</v>
      </c>
      <c r="F218" s="83" t="s">
        <v>18</v>
      </c>
      <c r="G218" s="183">
        <f>G219+G220+G221</f>
        <v>622730.3500000001</v>
      </c>
    </row>
    <row r="219" spans="1:7" ht="25.5">
      <c r="A219" s="81" t="s">
        <v>209</v>
      </c>
      <c r="B219" s="139">
        <v>941</v>
      </c>
      <c r="C219" s="83" t="s">
        <v>67</v>
      </c>
      <c r="D219" s="83" t="s">
        <v>71</v>
      </c>
      <c r="E219" s="83" t="s">
        <v>170</v>
      </c>
      <c r="F219" s="83" t="s">
        <v>31</v>
      </c>
      <c r="G219" s="183">
        <f>1529500+441900-441900-750000-300284.66</f>
        <v>479215.34</v>
      </c>
    </row>
    <row r="220" spans="1:7" ht="38.25">
      <c r="A220" s="81" t="s">
        <v>210</v>
      </c>
      <c r="B220" s="139">
        <v>941</v>
      </c>
      <c r="C220" s="83" t="s">
        <v>67</v>
      </c>
      <c r="D220" s="83" t="s">
        <v>71</v>
      </c>
      <c r="E220" s="83" t="s">
        <v>170</v>
      </c>
      <c r="F220" s="83" t="s">
        <v>32</v>
      </c>
      <c r="G220" s="183">
        <v>0</v>
      </c>
    </row>
    <row r="221" spans="1:7" ht="51">
      <c r="A221" s="81" t="s">
        <v>211</v>
      </c>
      <c r="B221" s="139">
        <v>941</v>
      </c>
      <c r="C221" s="83" t="s">
        <v>67</v>
      </c>
      <c r="D221" s="83" t="s">
        <v>71</v>
      </c>
      <c r="E221" s="83" t="s">
        <v>170</v>
      </c>
      <c r="F221" s="83" t="s">
        <v>177</v>
      </c>
      <c r="G221" s="183">
        <f>461900-318384.99</f>
        <v>143515.01</v>
      </c>
    </row>
    <row r="222" spans="1:7" ht="25.5">
      <c r="A222" s="81" t="s">
        <v>190</v>
      </c>
      <c r="B222" s="139">
        <v>941</v>
      </c>
      <c r="C222" s="83" t="s">
        <v>67</v>
      </c>
      <c r="D222" s="83" t="s">
        <v>71</v>
      </c>
      <c r="E222" s="83" t="s">
        <v>171</v>
      </c>
      <c r="F222" s="83"/>
      <c r="G222" s="183">
        <f>G223+G226+G229</f>
        <v>972512</v>
      </c>
    </row>
    <row r="223" spans="1:7" ht="25.5">
      <c r="A223" s="81" t="s">
        <v>17</v>
      </c>
      <c r="B223" s="139">
        <v>941</v>
      </c>
      <c r="C223" s="83" t="s">
        <v>67</v>
      </c>
      <c r="D223" s="83" t="s">
        <v>71</v>
      </c>
      <c r="E223" s="83" t="s">
        <v>171</v>
      </c>
      <c r="F223" s="83" t="s">
        <v>18</v>
      </c>
      <c r="G223" s="183">
        <f>G224+G225</f>
        <v>844800</v>
      </c>
    </row>
    <row r="224" spans="1:7" ht="25.5">
      <c r="A224" s="81" t="s">
        <v>209</v>
      </c>
      <c r="B224" s="139">
        <v>941</v>
      </c>
      <c r="C224" s="83" t="s">
        <v>67</v>
      </c>
      <c r="D224" s="83" t="s">
        <v>71</v>
      </c>
      <c r="E224" s="83" t="s">
        <v>171</v>
      </c>
      <c r="F224" s="83" t="s">
        <v>31</v>
      </c>
      <c r="G224" s="183">
        <f>802400+231700-231700-200000</f>
        <v>602400</v>
      </c>
    </row>
    <row r="225" spans="1:7" ht="51">
      <c r="A225" s="81" t="s">
        <v>211</v>
      </c>
      <c r="B225" s="139">
        <v>941</v>
      </c>
      <c r="C225" s="83" t="s">
        <v>67</v>
      </c>
      <c r="D225" s="83" t="s">
        <v>71</v>
      </c>
      <c r="E225" s="83" t="s">
        <v>171</v>
      </c>
      <c r="F225" s="83" t="s">
        <v>177</v>
      </c>
      <c r="G225" s="183">
        <v>242400</v>
      </c>
    </row>
    <row r="226" spans="1:7" ht="38.25">
      <c r="A226" s="64" t="s">
        <v>19</v>
      </c>
      <c r="B226" s="139">
        <v>941</v>
      </c>
      <c r="C226" s="83" t="s">
        <v>67</v>
      </c>
      <c r="D226" s="83" t="s">
        <v>71</v>
      </c>
      <c r="E226" s="83" t="s">
        <v>171</v>
      </c>
      <c r="F226" s="83" t="s">
        <v>20</v>
      </c>
      <c r="G226" s="183">
        <f>G227+G228</f>
        <v>35712</v>
      </c>
    </row>
    <row r="227" spans="1:7" ht="25.5">
      <c r="A227" s="85" t="s">
        <v>39</v>
      </c>
      <c r="B227" s="139">
        <v>941</v>
      </c>
      <c r="C227" s="83" t="s">
        <v>67</v>
      </c>
      <c r="D227" s="83" t="s">
        <v>71</v>
      </c>
      <c r="E227" s="83" t="s">
        <v>171</v>
      </c>
      <c r="F227" s="83" t="s">
        <v>38</v>
      </c>
      <c r="G227" s="183">
        <f>19200+3000+15000+3000+2000-34370</f>
        <v>7830</v>
      </c>
    </row>
    <row r="228" spans="1:7" ht="38.25">
      <c r="A228" s="64" t="s">
        <v>178</v>
      </c>
      <c r="B228" s="139">
        <v>941</v>
      </c>
      <c r="C228" s="83" t="s">
        <v>67</v>
      </c>
      <c r="D228" s="83" t="s">
        <v>71</v>
      </c>
      <c r="E228" s="83" t="s">
        <v>171</v>
      </c>
      <c r="F228" s="83" t="s">
        <v>33</v>
      </c>
      <c r="G228" s="183">
        <f>6000+2000+2000+30000+4000+15000+90000+20000+24000+1000+2000+12000+101300-34000-150000-71300-26118</f>
        <v>27882</v>
      </c>
    </row>
    <row r="229" spans="1:7" ht="12.75">
      <c r="A229" s="64" t="s">
        <v>21</v>
      </c>
      <c r="B229" s="82">
        <v>941</v>
      </c>
      <c r="C229" s="83" t="s">
        <v>67</v>
      </c>
      <c r="D229" s="83" t="s">
        <v>71</v>
      </c>
      <c r="E229" s="83" t="s">
        <v>171</v>
      </c>
      <c r="F229" s="83" t="s">
        <v>22</v>
      </c>
      <c r="G229" s="172">
        <f>G230+G231+G232</f>
        <v>92000</v>
      </c>
    </row>
    <row r="230" spans="1:7" ht="25.5">
      <c r="A230" s="64" t="s">
        <v>37</v>
      </c>
      <c r="B230" s="82">
        <v>941</v>
      </c>
      <c r="C230" s="83" t="s">
        <v>67</v>
      </c>
      <c r="D230" s="83" t="s">
        <v>71</v>
      </c>
      <c r="E230" s="83" t="s">
        <v>171</v>
      </c>
      <c r="F230" s="84" t="s">
        <v>35</v>
      </c>
      <c r="G230" s="172">
        <v>24000</v>
      </c>
    </row>
    <row r="231" spans="1:7" ht="12.75">
      <c r="A231" s="64" t="s">
        <v>212</v>
      </c>
      <c r="B231" s="82">
        <v>941</v>
      </c>
      <c r="C231" s="83" t="s">
        <v>67</v>
      </c>
      <c r="D231" s="83" t="s">
        <v>71</v>
      </c>
      <c r="E231" s="83" t="s">
        <v>171</v>
      </c>
      <c r="F231" s="84" t="s">
        <v>36</v>
      </c>
      <c r="G231" s="172">
        <f>5000+13000</f>
        <v>18000</v>
      </c>
    </row>
    <row r="232" spans="1:7" ht="12.75">
      <c r="A232" s="64" t="s">
        <v>103</v>
      </c>
      <c r="B232" s="82">
        <v>941</v>
      </c>
      <c r="C232" s="83" t="s">
        <v>67</v>
      </c>
      <c r="D232" s="83" t="s">
        <v>71</v>
      </c>
      <c r="E232" s="83" t="s">
        <v>171</v>
      </c>
      <c r="F232" s="84" t="s">
        <v>102</v>
      </c>
      <c r="G232" s="172">
        <f>50000</f>
        <v>50000</v>
      </c>
    </row>
    <row r="234" spans="1:7" ht="12.75">
      <c r="A234" s="168"/>
      <c r="G234" s="227"/>
    </row>
    <row r="235" ht="12.75">
      <c r="A235" s="227"/>
    </row>
    <row r="236" ht="12.75">
      <c r="A236" s="3"/>
    </row>
  </sheetData>
  <sheetProtection selectLockedCells="1" selectUnlockedCells="1"/>
  <mergeCells count="9">
    <mergeCell ref="A10:G10"/>
    <mergeCell ref="A4:G4"/>
    <mergeCell ref="A5:G5"/>
    <mergeCell ref="A6:G6"/>
    <mergeCell ref="A7:G7"/>
    <mergeCell ref="A1:G1"/>
    <mergeCell ref="A2:G2"/>
    <mergeCell ref="A3:G3"/>
    <mergeCell ref="A8:G8"/>
  </mergeCells>
  <printOptions/>
  <pageMargins left="0.1968503937007874" right="0.2362204724409449" top="0.31496062992125984" bottom="0.1968503937007874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5"/>
  <sheetViews>
    <sheetView view="pageBreakPreview" zoomScale="112" zoomScaleSheetLayoutView="112" zoomScalePageLayoutView="0" workbookViewId="0" topLeftCell="A217">
      <selection activeCell="F9" sqref="F9"/>
    </sheetView>
  </sheetViews>
  <sheetFormatPr defaultColWidth="9.00390625" defaultRowHeight="12.75"/>
  <cols>
    <col min="1" max="1" width="42.375" style="2" customWidth="1"/>
    <col min="2" max="3" width="8.75390625" style="2" customWidth="1"/>
    <col min="4" max="4" width="13.125" style="2" customWidth="1"/>
    <col min="5" max="5" width="8.25390625" style="3" customWidth="1"/>
    <col min="6" max="6" width="17.00390625" style="2" customWidth="1"/>
    <col min="7" max="16384" width="9.125" style="2" customWidth="1"/>
  </cols>
  <sheetData>
    <row r="1" spans="1:6" ht="16.5" customHeight="1">
      <c r="A1" s="303" t="s">
        <v>242</v>
      </c>
      <c r="B1" s="303"/>
      <c r="C1" s="303"/>
      <c r="D1" s="303"/>
      <c r="E1" s="303"/>
      <c r="F1" s="303"/>
    </row>
    <row r="2" spans="1:6" ht="16.5" customHeight="1">
      <c r="A2" s="303" t="s">
        <v>364</v>
      </c>
      <c r="B2" s="303"/>
      <c r="C2" s="303"/>
      <c r="D2" s="303"/>
      <c r="E2" s="303"/>
      <c r="F2" s="303"/>
    </row>
    <row r="3" spans="1:6" ht="13.5">
      <c r="A3" s="303" t="s">
        <v>363</v>
      </c>
      <c r="B3" s="303"/>
      <c r="C3" s="303"/>
      <c r="D3" s="303"/>
      <c r="E3" s="303"/>
      <c r="F3" s="303"/>
    </row>
    <row r="4" spans="1:6" ht="13.5" customHeight="1">
      <c r="A4" s="305" t="s">
        <v>16</v>
      </c>
      <c r="B4" s="305"/>
      <c r="C4" s="305"/>
      <c r="D4" s="305"/>
      <c r="E4" s="305"/>
      <c r="F4" s="305"/>
    </row>
    <row r="5" spans="1:6" ht="13.5" customHeight="1">
      <c r="A5" s="305" t="s">
        <v>236</v>
      </c>
      <c r="B5" s="305"/>
      <c r="C5" s="305"/>
      <c r="D5" s="305"/>
      <c r="E5" s="305"/>
      <c r="F5" s="305"/>
    </row>
    <row r="6" spans="1:6" ht="13.5" customHeight="1">
      <c r="A6" s="305" t="s">
        <v>237</v>
      </c>
      <c r="B6" s="305"/>
      <c r="C6" s="305"/>
      <c r="D6" s="305"/>
      <c r="E6" s="305"/>
      <c r="F6" s="305"/>
    </row>
    <row r="7" spans="1:6" ht="13.5" customHeight="1">
      <c r="A7" s="301" t="s">
        <v>240</v>
      </c>
      <c r="B7" s="301"/>
      <c r="C7" s="301"/>
      <c r="D7" s="301"/>
      <c r="E7" s="301"/>
      <c r="F7" s="301"/>
    </row>
    <row r="8" spans="1:6" ht="13.5" customHeight="1">
      <c r="A8" s="301" t="s">
        <v>239</v>
      </c>
      <c r="B8" s="301"/>
      <c r="C8" s="301"/>
      <c r="D8" s="301"/>
      <c r="E8" s="301"/>
      <c r="F8" s="301"/>
    </row>
    <row r="9" spans="1:5" ht="15.75">
      <c r="A9" s="4"/>
      <c r="B9" s="11"/>
      <c r="D9" s="1"/>
      <c r="E9" s="1"/>
    </row>
    <row r="10" spans="1:6" ht="46.5" customHeight="1">
      <c r="A10" s="304" t="s">
        <v>175</v>
      </c>
      <c r="B10" s="304"/>
      <c r="C10" s="304"/>
      <c r="D10" s="304"/>
      <c r="E10" s="304"/>
      <c r="F10" s="304"/>
    </row>
    <row r="11" spans="1:2" ht="15.75" customHeight="1">
      <c r="A11" s="5"/>
      <c r="B11" s="5"/>
    </row>
    <row r="12" spans="1:6" ht="15.75">
      <c r="A12" s="6"/>
      <c r="E12" s="7"/>
      <c r="F12" s="7" t="s">
        <v>191</v>
      </c>
    </row>
    <row r="13" spans="1:6" ht="15.75">
      <c r="A13" s="134"/>
      <c r="B13" s="133" t="s">
        <v>62</v>
      </c>
      <c r="C13" s="88" t="s">
        <v>63</v>
      </c>
      <c r="D13" s="88" t="s">
        <v>64</v>
      </c>
      <c r="E13" s="88" t="s">
        <v>65</v>
      </c>
      <c r="F13" s="89" t="s">
        <v>58</v>
      </c>
    </row>
    <row r="14" spans="1:6" ht="25.5">
      <c r="A14" s="90" t="s">
        <v>173</v>
      </c>
      <c r="B14" s="91"/>
      <c r="C14" s="91"/>
      <c r="D14" s="91"/>
      <c r="E14" s="91"/>
      <c r="F14" s="179">
        <f>F15+F80+F87+F97+F108+F136+F176+F182+F206</f>
        <v>151997651.69</v>
      </c>
    </row>
    <row r="15" spans="1:6" ht="12.75">
      <c r="A15" s="92" t="s">
        <v>66</v>
      </c>
      <c r="B15" s="93" t="s">
        <v>67</v>
      </c>
      <c r="C15" s="93"/>
      <c r="D15" s="93"/>
      <c r="E15" s="93"/>
      <c r="F15" s="180">
        <f>F16+F41+F55+F60+F23</f>
        <v>26116046.37</v>
      </c>
    </row>
    <row r="16" spans="1:6" ht="25.5">
      <c r="A16" s="94" t="s">
        <v>68</v>
      </c>
      <c r="B16" s="95" t="s">
        <v>67</v>
      </c>
      <c r="C16" s="95" t="s">
        <v>69</v>
      </c>
      <c r="D16" s="95"/>
      <c r="E16" s="95"/>
      <c r="F16" s="181">
        <f>F17</f>
        <v>1134787.16</v>
      </c>
    </row>
    <row r="17" spans="1:6" ht="25.5">
      <c r="A17" s="81" t="s">
        <v>111</v>
      </c>
      <c r="B17" s="83" t="s">
        <v>67</v>
      </c>
      <c r="C17" s="83" t="s">
        <v>69</v>
      </c>
      <c r="D17" s="83" t="s">
        <v>109</v>
      </c>
      <c r="E17" s="83"/>
      <c r="F17" s="183">
        <f>F18</f>
        <v>1134787.16</v>
      </c>
    </row>
    <row r="18" spans="1:6" ht="12.75">
      <c r="A18" s="81" t="s">
        <v>27</v>
      </c>
      <c r="B18" s="83" t="s">
        <v>67</v>
      </c>
      <c r="C18" s="83" t="s">
        <v>69</v>
      </c>
      <c r="D18" s="83" t="s">
        <v>110</v>
      </c>
      <c r="E18" s="83"/>
      <c r="F18" s="183">
        <f>F19</f>
        <v>1134787.16</v>
      </c>
    </row>
    <row r="19" spans="1:6" ht="25.5">
      <c r="A19" s="81" t="s">
        <v>17</v>
      </c>
      <c r="B19" s="83" t="s">
        <v>67</v>
      </c>
      <c r="C19" s="83" t="s">
        <v>69</v>
      </c>
      <c r="D19" s="83" t="s">
        <v>110</v>
      </c>
      <c r="E19" s="83" t="s">
        <v>18</v>
      </c>
      <c r="F19" s="183">
        <f>F20+F21+F22</f>
        <v>1134787.16</v>
      </c>
    </row>
    <row r="20" spans="1:6" ht="25.5">
      <c r="A20" s="81" t="s">
        <v>209</v>
      </c>
      <c r="B20" s="83" t="s">
        <v>67</v>
      </c>
      <c r="C20" s="83" t="s">
        <v>69</v>
      </c>
      <c r="D20" s="83" t="s">
        <v>110</v>
      </c>
      <c r="E20" s="83" t="s">
        <v>31</v>
      </c>
      <c r="F20" s="183">
        <f>'вед '!G20</f>
        <v>899706.7</v>
      </c>
    </row>
    <row r="21" spans="1:6" ht="38.25">
      <c r="A21" s="81" t="s">
        <v>210</v>
      </c>
      <c r="B21" s="83" t="s">
        <v>67</v>
      </c>
      <c r="C21" s="83" t="s">
        <v>69</v>
      </c>
      <c r="D21" s="83" t="s">
        <v>110</v>
      </c>
      <c r="E21" s="83" t="s">
        <v>32</v>
      </c>
      <c r="F21" s="183">
        <f>'вед '!G21</f>
        <v>0</v>
      </c>
    </row>
    <row r="22" spans="1:6" ht="51">
      <c r="A22" s="81" t="s">
        <v>211</v>
      </c>
      <c r="B22" s="83" t="s">
        <v>67</v>
      </c>
      <c r="C22" s="83" t="s">
        <v>69</v>
      </c>
      <c r="D22" s="83" t="s">
        <v>110</v>
      </c>
      <c r="E22" s="83" t="s">
        <v>177</v>
      </c>
      <c r="F22" s="183">
        <f>'вед '!G22</f>
        <v>235080.46</v>
      </c>
    </row>
    <row r="23" spans="1:6" ht="51">
      <c r="A23" s="96" t="s">
        <v>70</v>
      </c>
      <c r="B23" s="97" t="s">
        <v>67</v>
      </c>
      <c r="C23" s="97" t="s">
        <v>71</v>
      </c>
      <c r="D23" s="97"/>
      <c r="E23" s="97"/>
      <c r="F23" s="202">
        <f>F24</f>
        <v>1595242.35</v>
      </c>
    </row>
    <row r="24" spans="1:6" ht="25.5">
      <c r="A24" s="81" t="s">
        <v>111</v>
      </c>
      <c r="B24" s="98" t="s">
        <v>67</v>
      </c>
      <c r="C24" s="98" t="s">
        <v>71</v>
      </c>
      <c r="D24" s="98" t="s">
        <v>109</v>
      </c>
      <c r="E24" s="98"/>
      <c r="F24" s="201">
        <f>F25+F30</f>
        <v>1595242.35</v>
      </c>
    </row>
    <row r="25" spans="1:6" ht="25.5">
      <c r="A25" s="81" t="s">
        <v>26</v>
      </c>
      <c r="B25" s="83" t="s">
        <v>67</v>
      </c>
      <c r="C25" s="83" t="s">
        <v>71</v>
      </c>
      <c r="D25" s="83" t="s">
        <v>170</v>
      </c>
      <c r="E25" s="83"/>
      <c r="F25" s="183">
        <f>F26</f>
        <v>622730.3500000001</v>
      </c>
    </row>
    <row r="26" spans="1:6" ht="25.5">
      <c r="A26" s="81" t="s">
        <v>17</v>
      </c>
      <c r="B26" s="83" t="s">
        <v>67</v>
      </c>
      <c r="C26" s="83" t="s">
        <v>71</v>
      </c>
      <c r="D26" s="83" t="s">
        <v>170</v>
      </c>
      <c r="E26" s="83" t="s">
        <v>18</v>
      </c>
      <c r="F26" s="183">
        <f>F27+F28+F29</f>
        <v>622730.3500000001</v>
      </c>
    </row>
    <row r="27" spans="1:6" ht="25.5">
      <c r="A27" s="81" t="s">
        <v>209</v>
      </c>
      <c r="B27" s="83" t="s">
        <v>67</v>
      </c>
      <c r="C27" s="83" t="s">
        <v>71</v>
      </c>
      <c r="D27" s="83" t="s">
        <v>170</v>
      </c>
      <c r="E27" s="83" t="s">
        <v>31</v>
      </c>
      <c r="F27" s="183">
        <f>'вед '!G219</f>
        <v>479215.34</v>
      </c>
    </row>
    <row r="28" spans="1:6" ht="38.25">
      <c r="A28" s="81" t="s">
        <v>210</v>
      </c>
      <c r="B28" s="83" t="s">
        <v>67</v>
      </c>
      <c r="C28" s="83" t="s">
        <v>71</v>
      </c>
      <c r="D28" s="83" t="s">
        <v>170</v>
      </c>
      <c r="E28" s="83" t="s">
        <v>32</v>
      </c>
      <c r="F28" s="183">
        <f>'вед '!G220</f>
        <v>0</v>
      </c>
    </row>
    <row r="29" spans="1:6" ht="51">
      <c r="A29" s="81" t="s">
        <v>211</v>
      </c>
      <c r="B29" s="83" t="s">
        <v>67</v>
      </c>
      <c r="C29" s="83" t="s">
        <v>71</v>
      </c>
      <c r="D29" s="83" t="s">
        <v>170</v>
      </c>
      <c r="E29" s="83" t="s">
        <v>177</v>
      </c>
      <c r="F29" s="183">
        <f>'вед '!G221</f>
        <v>143515.01</v>
      </c>
    </row>
    <row r="30" spans="1:6" ht="25.5">
      <c r="A30" s="81" t="s">
        <v>190</v>
      </c>
      <c r="B30" s="83" t="s">
        <v>67</v>
      </c>
      <c r="C30" s="83" t="s">
        <v>71</v>
      </c>
      <c r="D30" s="83" t="s">
        <v>171</v>
      </c>
      <c r="E30" s="83"/>
      <c r="F30" s="183">
        <f>'вед '!G222</f>
        <v>972512</v>
      </c>
    </row>
    <row r="31" spans="1:6" ht="25.5">
      <c r="A31" s="81" t="s">
        <v>17</v>
      </c>
      <c r="B31" s="83" t="s">
        <v>67</v>
      </c>
      <c r="C31" s="83" t="s">
        <v>71</v>
      </c>
      <c r="D31" s="83" t="s">
        <v>171</v>
      </c>
      <c r="E31" s="83" t="s">
        <v>18</v>
      </c>
      <c r="F31" s="183">
        <f>'вед '!G223</f>
        <v>844800</v>
      </c>
    </row>
    <row r="32" spans="1:6" ht="25.5">
      <c r="A32" s="81" t="s">
        <v>209</v>
      </c>
      <c r="B32" s="83" t="s">
        <v>67</v>
      </c>
      <c r="C32" s="83" t="s">
        <v>71</v>
      </c>
      <c r="D32" s="83" t="s">
        <v>171</v>
      </c>
      <c r="E32" s="83" t="s">
        <v>31</v>
      </c>
      <c r="F32" s="183">
        <f>'вед '!G224</f>
        <v>602400</v>
      </c>
    </row>
    <row r="33" spans="1:6" ht="51">
      <c r="A33" s="81" t="s">
        <v>211</v>
      </c>
      <c r="B33" s="83" t="s">
        <v>67</v>
      </c>
      <c r="C33" s="83" t="s">
        <v>71</v>
      </c>
      <c r="D33" s="83" t="s">
        <v>171</v>
      </c>
      <c r="E33" s="83" t="s">
        <v>177</v>
      </c>
      <c r="F33" s="183">
        <f>'вед '!G225</f>
        <v>242400</v>
      </c>
    </row>
    <row r="34" spans="1:6" ht="38.25">
      <c r="A34" s="64" t="s">
        <v>19</v>
      </c>
      <c r="B34" s="83" t="s">
        <v>67</v>
      </c>
      <c r="C34" s="83" t="s">
        <v>71</v>
      </c>
      <c r="D34" s="83" t="s">
        <v>171</v>
      </c>
      <c r="E34" s="83" t="s">
        <v>20</v>
      </c>
      <c r="F34" s="183">
        <f>'вед '!G226</f>
        <v>35712</v>
      </c>
    </row>
    <row r="35" spans="1:6" ht="25.5">
      <c r="A35" s="85" t="s">
        <v>39</v>
      </c>
      <c r="B35" s="83" t="s">
        <v>67</v>
      </c>
      <c r="C35" s="83" t="s">
        <v>71</v>
      </c>
      <c r="D35" s="83" t="s">
        <v>171</v>
      </c>
      <c r="E35" s="83" t="s">
        <v>38</v>
      </c>
      <c r="F35" s="183">
        <f>'вед '!G227</f>
        <v>7830</v>
      </c>
    </row>
    <row r="36" spans="1:6" ht="38.25">
      <c r="A36" s="64" t="s">
        <v>178</v>
      </c>
      <c r="B36" s="83" t="s">
        <v>67</v>
      </c>
      <c r="C36" s="83" t="s">
        <v>71</v>
      </c>
      <c r="D36" s="83" t="s">
        <v>171</v>
      </c>
      <c r="E36" s="83" t="s">
        <v>33</v>
      </c>
      <c r="F36" s="183">
        <f>'вед '!G228</f>
        <v>27882</v>
      </c>
    </row>
    <row r="37" spans="1:6" ht="12.75">
      <c r="A37" s="64" t="s">
        <v>21</v>
      </c>
      <c r="B37" s="83" t="s">
        <v>67</v>
      </c>
      <c r="C37" s="83" t="s">
        <v>71</v>
      </c>
      <c r="D37" s="83" t="s">
        <v>171</v>
      </c>
      <c r="E37" s="83" t="s">
        <v>22</v>
      </c>
      <c r="F37" s="183">
        <f>'вед '!G229</f>
        <v>92000</v>
      </c>
    </row>
    <row r="38" spans="1:6" ht="25.5">
      <c r="A38" s="64" t="s">
        <v>37</v>
      </c>
      <c r="B38" s="83" t="s">
        <v>67</v>
      </c>
      <c r="C38" s="83" t="s">
        <v>71</v>
      </c>
      <c r="D38" s="83" t="s">
        <v>171</v>
      </c>
      <c r="E38" s="84" t="s">
        <v>35</v>
      </c>
      <c r="F38" s="183">
        <f>'вед '!G230</f>
        <v>24000</v>
      </c>
    </row>
    <row r="39" spans="1:6" ht="12.75">
      <c r="A39" s="64" t="s">
        <v>212</v>
      </c>
      <c r="B39" s="83" t="s">
        <v>67</v>
      </c>
      <c r="C39" s="83" t="s">
        <v>71</v>
      </c>
      <c r="D39" s="83" t="s">
        <v>171</v>
      </c>
      <c r="E39" s="84" t="s">
        <v>36</v>
      </c>
      <c r="F39" s="183">
        <f>'вед '!G231</f>
        <v>18000</v>
      </c>
    </row>
    <row r="40" spans="1:6" ht="12.75">
      <c r="A40" s="64" t="s">
        <v>103</v>
      </c>
      <c r="B40" s="83" t="s">
        <v>67</v>
      </c>
      <c r="C40" s="83" t="s">
        <v>71</v>
      </c>
      <c r="D40" s="83" t="s">
        <v>171</v>
      </c>
      <c r="E40" s="84" t="s">
        <v>102</v>
      </c>
      <c r="F40" s="183">
        <f>'вед '!G232</f>
        <v>50000</v>
      </c>
    </row>
    <row r="41" spans="1:6" ht="38.25">
      <c r="A41" s="94" t="s">
        <v>72</v>
      </c>
      <c r="B41" s="95" t="s">
        <v>67</v>
      </c>
      <c r="C41" s="95" t="s">
        <v>73</v>
      </c>
      <c r="D41" s="95"/>
      <c r="E41" s="95"/>
      <c r="F41" s="181">
        <f>F42</f>
        <v>18919106.5</v>
      </c>
    </row>
    <row r="42" spans="1:6" ht="25.5">
      <c r="A42" s="81" t="s">
        <v>111</v>
      </c>
      <c r="B42" s="83" t="s">
        <v>67</v>
      </c>
      <c r="C42" s="83" t="s">
        <v>73</v>
      </c>
      <c r="D42" s="83" t="s">
        <v>109</v>
      </c>
      <c r="E42" s="83"/>
      <c r="F42" s="183">
        <f>F43</f>
        <v>18919106.5</v>
      </c>
    </row>
    <row r="43" spans="1:6" ht="12.75">
      <c r="A43" s="81" t="s">
        <v>27</v>
      </c>
      <c r="B43" s="83" t="s">
        <v>67</v>
      </c>
      <c r="C43" s="83" t="s">
        <v>73</v>
      </c>
      <c r="D43" s="83" t="s">
        <v>110</v>
      </c>
      <c r="E43" s="83"/>
      <c r="F43" s="183">
        <f>F44+F48+F50+F51</f>
        <v>18919106.5</v>
      </c>
    </row>
    <row r="44" spans="1:6" ht="25.5">
      <c r="A44" s="81" t="s">
        <v>17</v>
      </c>
      <c r="B44" s="83" t="s">
        <v>67</v>
      </c>
      <c r="C44" s="83" t="s">
        <v>73</v>
      </c>
      <c r="D44" s="83" t="s">
        <v>110</v>
      </c>
      <c r="E44" s="83" t="s">
        <v>18</v>
      </c>
      <c r="F44" s="183">
        <f>F45+F46+F47</f>
        <v>11768700</v>
      </c>
    </row>
    <row r="45" spans="1:6" ht="25.5">
      <c r="A45" s="81" t="s">
        <v>209</v>
      </c>
      <c r="B45" s="83" t="s">
        <v>67</v>
      </c>
      <c r="C45" s="83" t="s">
        <v>73</v>
      </c>
      <c r="D45" s="83" t="s">
        <v>110</v>
      </c>
      <c r="E45" s="83" t="s">
        <v>31</v>
      </c>
      <c r="F45" s="184">
        <f>'вед '!G27</f>
        <v>9060400</v>
      </c>
    </row>
    <row r="46" spans="1:6" ht="38.25">
      <c r="A46" s="81" t="s">
        <v>210</v>
      </c>
      <c r="B46" s="83" t="s">
        <v>67</v>
      </c>
      <c r="C46" s="83" t="s">
        <v>73</v>
      </c>
      <c r="D46" s="83" t="s">
        <v>110</v>
      </c>
      <c r="E46" s="83" t="s">
        <v>32</v>
      </c>
      <c r="F46" s="184">
        <f>'вед '!G28</f>
        <v>0</v>
      </c>
    </row>
    <row r="47" spans="1:6" ht="51">
      <c r="A47" s="81" t="s">
        <v>211</v>
      </c>
      <c r="B47" s="83" t="s">
        <v>67</v>
      </c>
      <c r="C47" s="83" t="s">
        <v>73</v>
      </c>
      <c r="D47" s="83" t="s">
        <v>110</v>
      </c>
      <c r="E47" s="83" t="s">
        <v>177</v>
      </c>
      <c r="F47" s="184">
        <f>'вед '!G29</f>
        <v>2708300</v>
      </c>
    </row>
    <row r="48" spans="1:6" ht="38.25">
      <c r="A48" s="64" t="s">
        <v>19</v>
      </c>
      <c r="B48" s="83" t="s">
        <v>67</v>
      </c>
      <c r="C48" s="83" t="s">
        <v>73</v>
      </c>
      <c r="D48" s="83" t="s">
        <v>110</v>
      </c>
      <c r="E48" s="83" t="s">
        <v>20</v>
      </c>
      <c r="F48" s="184">
        <f>'вед '!G30</f>
        <v>2807406.5</v>
      </c>
    </row>
    <row r="49" spans="1:6" ht="38.25">
      <c r="A49" s="64" t="s">
        <v>178</v>
      </c>
      <c r="B49" s="83" t="s">
        <v>67</v>
      </c>
      <c r="C49" s="83" t="s">
        <v>73</v>
      </c>
      <c r="D49" s="83" t="s">
        <v>110</v>
      </c>
      <c r="E49" s="83" t="s">
        <v>33</v>
      </c>
      <c r="F49" s="184">
        <f>'вед '!G31</f>
        <v>2807406.5</v>
      </c>
    </row>
    <row r="50" spans="1:6" ht="25.5">
      <c r="A50" s="169" t="s">
        <v>359</v>
      </c>
      <c r="B50" s="83" t="s">
        <v>67</v>
      </c>
      <c r="C50" s="83" t="s">
        <v>73</v>
      </c>
      <c r="D50" s="83" t="s">
        <v>110</v>
      </c>
      <c r="E50" s="83" t="s">
        <v>30</v>
      </c>
      <c r="F50" s="184">
        <f>'вед '!G32</f>
        <v>3897000</v>
      </c>
    </row>
    <row r="51" spans="1:6" ht="12.75">
      <c r="A51" s="64" t="s">
        <v>21</v>
      </c>
      <c r="B51" s="83" t="s">
        <v>67</v>
      </c>
      <c r="C51" s="83" t="s">
        <v>73</v>
      </c>
      <c r="D51" s="83" t="s">
        <v>110</v>
      </c>
      <c r="E51" s="83" t="s">
        <v>22</v>
      </c>
      <c r="F51" s="184">
        <f>'вед '!G33</f>
        <v>446000</v>
      </c>
    </row>
    <row r="52" spans="1:6" ht="25.5">
      <c r="A52" s="64" t="s">
        <v>37</v>
      </c>
      <c r="B52" s="83" t="s">
        <v>67</v>
      </c>
      <c r="C52" s="83" t="s">
        <v>73</v>
      </c>
      <c r="D52" s="83" t="s">
        <v>110</v>
      </c>
      <c r="E52" s="84" t="s">
        <v>35</v>
      </c>
      <c r="F52" s="184">
        <f>'вед '!G34</f>
        <v>41000</v>
      </c>
    </row>
    <row r="53" spans="1:6" ht="12.75">
      <c r="A53" s="64" t="s">
        <v>212</v>
      </c>
      <c r="B53" s="83" t="s">
        <v>67</v>
      </c>
      <c r="C53" s="83" t="s">
        <v>73</v>
      </c>
      <c r="D53" s="83" t="s">
        <v>110</v>
      </c>
      <c r="E53" s="84" t="s">
        <v>36</v>
      </c>
      <c r="F53" s="184">
        <f>'вед '!G35</f>
        <v>55000</v>
      </c>
    </row>
    <row r="54" spans="1:6" ht="12.75">
      <c r="A54" s="64" t="s">
        <v>103</v>
      </c>
      <c r="B54" s="83" t="s">
        <v>67</v>
      </c>
      <c r="C54" s="83" t="s">
        <v>73</v>
      </c>
      <c r="D54" s="83" t="s">
        <v>110</v>
      </c>
      <c r="E54" s="84" t="s">
        <v>102</v>
      </c>
      <c r="F54" s="184">
        <f>'вед '!G36</f>
        <v>350000</v>
      </c>
    </row>
    <row r="55" spans="1:6" ht="38.25">
      <c r="A55" s="99" t="s">
        <v>75</v>
      </c>
      <c r="B55" s="100" t="s">
        <v>67</v>
      </c>
      <c r="C55" s="100" t="s">
        <v>76</v>
      </c>
      <c r="D55" s="100"/>
      <c r="E55" s="100"/>
      <c r="F55" s="203">
        <f>F56</f>
        <v>145880</v>
      </c>
    </row>
    <row r="56" spans="1:6" ht="12.75">
      <c r="A56" s="81" t="s">
        <v>112</v>
      </c>
      <c r="B56" s="101" t="s">
        <v>67</v>
      </c>
      <c r="C56" s="101" t="s">
        <v>76</v>
      </c>
      <c r="D56" s="102" t="s">
        <v>113</v>
      </c>
      <c r="E56" s="170"/>
      <c r="F56" s="187">
        <f>F57</f>
        <v>145880</v>
      </c>
    </row>
    <row r="57" spans="1:6" ht="12.75">
      <c r="A57" s="87" t="s">
        <v>74</v>
      </c>
      <c r="B57" s="101" t="s">
        <v>67</v>
      </c>
      <c r="C57" s="101" t="s">
        <v>76</v>
      </c>
      <c r="D57" s="102" t="s">
        <v>179</v>
      </c>
      <c r="E57" s="84"/>
      <c r="F57" s="172">
        <f>F58</f>
        <v>145880</v>
      </c>
    </row>
    <row r="58" spans="1:6" ht="91.5" customHeight="1">
      <c r="A58" s="64" t="s">
        <v>218</v>
      </c>
      <c r="B58" s="101" t="s">
        <v>67</v>
      </c>
      <c r="C58" s="101" t="s">
        <v>76</v>
      </c>
      <c r="D58" s="102" t="s">
        <v>180</v>
      </c>
      <c r="E58" s="84"/>
      <c r="F58" s="172">
        <f>F59</f>
        <v>145880</v>
      </c>
    </row>
    <row r="59" spans="1:6" ht="12.75">
      <c r="A59" s="64" t="s">
        <v>59</v>
      </c>
      <c r="B59" s="101" t="s">
        <v>67</v>
      </c>
      <c r="C59" s="101" t="s">
        <v>76</v>
      </c>
      <c r="D59" s="102" t="s">
        <v>180</v>
      </c>
      <c r="E59" s="83" t="s">
        <v>30</v>
      </c>
      <c r="F59" s="185">
        <f>'вед '!G41</f>
        <v>145880</v>
      </c>
    </row>
    <row r="60" spans="1:6" ht="12.75">
      <c r="A60" s="94" t="s">
        <v>78</v>
      </c>
      <c r="B60" s="95" t="s">
        <v>67</v>
      </c>
      <c r="C60" s="95" t="s">
        <v>79</v>
      </c>
      <c r="D60" s="95"/>
      <c r="E60" s="95"/>
      <c r="F60" s="188">
        <f>F61+F64</f>
        <v>4321030.359999999</v>
      </c>
    </row>
    <row r="61" spans="1:6" ht="63.75">
      <c r="A61" s="169" t="s">
        <v>223</v>
      </c>
      <c r="B61" s="205" t="s">
        <v>67</v>
      </c>
      <c r="C61" s="205" t="s">
        <v>79</v>
      </c>
      <c r="D61" s="206" t="s">
        <v>224</v>
      </c>
      <c r="E61" s="205"/>
      <c r="F61" s="196">
        <f>F62</f>
        <v>585000</v>
      </c>
    </row>
    <row r="62" spans="1:6" ht="12.75">
      <c r="A62" s="207" t="s">
        <v>225</v>
      </c>
      <c r="B62" s="205" t="s">
        <v>67</v>
      </c>
      <c r="C62" s="205" t="s">
        <v>79</v>
      </c>
      <c r="D62" s="206" t="s">
        <v>224</v>
      </c>
      <c r="E62" s="205" t="s">
        <v>226</v>
      </c>
      <c r="F62" s="196">
        <f>F63</f>
        <v>585000</v>
      </c>
    </row>
    <row r="63" spans="1:6" ht="38.25">
      <c r="A63" s="208" t="s">
        <v>227</v>
      </c>
      <c r="B63" s="205" t="s">
        <v>67</v>
      </c>
      <c r="C63" s="205" t="s">
        <v>79</v>
      </c>
      <c r="D63" s="206" t="s">
        <v>224</v>
      </c>
      <c r="E63" s="205" t="s">
        <v>228</v>
      </c>
      <c r="F63" s="196">
        <f>'вед '!G45</f>
        <v>585000</v>
      </c>
    </row>
    <row r="64" spans="1:6" ht="12.75">
      <c r="A64" s="81" t="s">
        <v>112</v>
      </c>
      <c r="B64" s="83" t="s">
        <v>67</v>
      </c>
      <c r="C64" s="83" t="s">
        <v>79</v>
      </c>
      <c r="D64" s="83" t="s">
        <v>113</v>
      </c>
      <c r="E64" s="83"/>
      <c r="F64" s="189">
        <f>F65+F68+F71+F74+F77</f>
        <v>3736030.36</v>
      </c>
    </row>
    <row r="65" spans="1:6" ht="25.5">
      <c r="A65" s="64" t="s">
        <v>116</v>
      </c>
      <c r="B65" s="83" t="s">
        <v>67</v>
      </c>
      <c r="C65" s="83" t="s">
        <v>79</v>
      </c>
      <c r="D65" s="83" t="s">
        <v>117</v>
      </c>
      <c r="E65" s="83"/>
      <c r="F65" s="189">
        <f>F66</f>
        <v>21700</v>
      </c>
    </row>
    <row r="66" spans="1:6" ht="12.75">
      <c r="A66" s="64" t="s">
        <v>21</v>
      </c>
      <c r="B66" s="83" t="s">
        <v>67</v>
      </c>
      <c r="C66" s="83" t="s">
        <v>79</v>
      </c>
      <c r="D66" s="83" t="s">
        <v>117</v>
      </c>
      <c r="E66" s="83" t="s">
        <v>22</v>
      </c>
      <c r="F66" s="189">
        <f>F67</f>
        <v>21700</v>
      </c>
    </row>
    <row r="67" spans="1:6" ht="12.75">
      <c r="A67" s="64" t="s">
        <v>103</v>
      </c>
      <c r="B67" s="83" t="s">
        <v>67</v>
      </c>
      <c r="C67" s="83" t="s">
        <v>79</v>
      </c>
      <c r="D67" s="83" t="s">
        <v>117</v>
      </c>
      <c r="E67" s="83" t="s">
        <v>102</v>
      </c>
      <c r="F67" s="189">
        <f>'вед '!G49</f>
        <v>21700</v>
      </c>
    </row>
    <row r="68" spans="1:6" ht="38.25">
      <c r="A68" s="64" t="s">
        <v>80</v>
      </c>
      <c r="B68" s="83" t="s">
        <v>67</v>
      </c>
      <c r="C68" s="83" t="s">
        <v>79</v>
      </c>
      <c r="D68" s="83" t="s">
        <v>115</v>
      </c>
      <c r="E68" s="83"/>
      <c r="F68" s="189">
        <f>F69</f>
        <v>15000</v>
      </c>
    </row>
    <row r="69" spans="1:6" ht="38.25">
      <c r="A69" s="64" t="s">
        <v>19</v>
      </c>
      <c r="B69" s="83" t="s">
        <v>67</v>
      </c>
      <c r="C69" s="83" t="s">
        <v>79</v>
      </c>
      <c r="D69" s="83" t="s">
        <v>115</v>
      </c>
      <c r="E69" s="83" t="s">
        <v>20</v>
      </c>
      <c r="F69" s="189">
        <f>F70</f>
        <v>15000</v>
      </c>
    </row>
    <row r="70" spans="1:6" ht="38.25">
      <c r="A70" s="64" t="s">
        <v>178</v>
      </c>
      <c r="B70" s="83" t="s">
        <v>67</v>
      </c>
      <c r="C70" s="83" t="s">
        <v>79</v>
      </c>
      <c r="D70" s="83" t="s">
        <v>115</v>
      </c>
      <c r="E70" s="83" t="s">
        <v>33</v>
      </c>
      <c r="F70" s="189">
        <f>'вед '!G52</f>
        <v>15000</v>
      </c>
    </row>
    <row r="71" spans="1:6" ht="38.25">
      <c r="A71" s="64" t="s">
        <v>222</v>
      </c>
      <c r="B71" s="83" t="s">
        <v>67</v>
      </c>
      <c r="C71" s="83" t="s">
        <v>79</v>
      </c>
      <c r="D71" s="83" t="s">
        <v>221</v>
      </c>
      <c r="E71" s="83"/>
      <c r="F71" s="184">
        <f>F72</f>
        <v>2361381.36</v>
      </c>
    </row>
    <row r="72" spans="1:6" ht="38.25">
      <c r="A72" s="64" t="s">
        <v>19</v>
      </c>
      <c r="B72" s="83" t="s">
        <v>67</v>
      </c>
      <c r="C72" s="83" t="s">
        <v>79</v>
      </c>
      <c r="D72" s="83" t="s">
        <v>221</v>
      </c>
      <c r="E72" s="83" t="s">
        <v>20</v>
      </c>
      <c r="F72" s="189">
        <f>F73</f>
        <v>2361381.36</v>
      </c>
    </row>
    <row r="73" spans="1:6" ht="38.25">
      <c r="A73" s="64" t="s">
        <v>178</v>
      </c>
      <c r="B73" s="83" t="s">
        <v>67</v>
      </c>
      <c r="C73" s="83" t="s">
        <v>79</v>
      </c>
      <c r="D73" s="83" t="s">
        <v>221</v>
      </c>
      <c r="E73" s="83" t="s">
        <v>33</v>
      </c>
      <c r="F73" s="184">
        <f>'вед '!G55</f>
        <v>2361381.36</v>
      </c>
    </row>
    <row r="74" spans="1:6" ht="12.75">
      <c r="A74" s="85" t="s">
        <v>53</v>
      </c>
      <c r="B74" s="83" t="s">
        <v>67</v>
      </c>
      <c r="C74" s="83" t="s">
        <v>79</v>
      </c>
      <c r="D74" s="83" t="s">
        <v>182</v>
      </c>
      <c r="E74" s="83"/>
      <c r="F74" s="189">
        <f>F75</f>
        <v>240450</v>
      </c>
    </row>
    <row r="75" spans="1:6" ht="102">
      <c r="A75" s="64" t="s">
        <v>219</v>
      </c>
      <c r="B75" s="83" t="s">
        <v>67</v>
      </c>
      <c r="C75" s="83" t="s">
        <v>79</v>
      </c>
      <c r="D75" s="83" t="s">
        <v>181</v>
      </c>
      <c r="E75" s="83"/>
      <c r="F75" s="189">
        <f>F76</f>
        <v>240450</v>
      </c>
    </row>
    <row r="76" spans="1:6" ht="12.75">
      <c r="A76" s="85" t="s">
        <v>59</v>
      </c>
      <c r="B76" s="83" t="s">
        <v>67</v>
      </c>
      <c r="C76" s="83" t="s">
        <v>79</v>
      </c>
      <c r="D76" s="83" t="s">
        <v>181</v>
      </c>
      <c r="E76" s="83" t="s">
        <v>30</v>
      </c>
      <c r="F76" s="189">
        <f>'вед '!G58</f>
        <v>240450</v>
      </c>
    </row>
    <row r="77" spans="1:6" ht="27.75" customHeight="1">
      <c r="A77" s="81" t="s">
        <v>186</v>
      </c>
      <c r="B77" s="83" t="s">
        <v>67</v>
      </c>
      <c r="C77" s="83" t="s">
        <v>79</v>
      </c>
      <c r="D77" s="83" t="s">
        <v>114</v>
      </c>
      <c r="E77" s="83"/>
      <c r="F77" s="189">
        <f>F78</f>
        <v>1097499</v>
      </c>
    </row>
    <row r="78" spans="1:6" ht="27.75" customHeight="1">
      <c r="A78" s="81" t="s">
        <v>186</v>
      </c>
      <c r="B78" s="83" t="s">
        <v>67</v>
      </c>
      <c r="C78" s="83" t="s">
        <v>79</v>
      </c>
      <c r="D78" s="83" t="s">
        <v>114</v>
      </c>
      <c r="E78" s="83" t="s">
        <v>29</v>
      </c>
      <c r="F78" s="189">
        <f>F79</f>
        <v>1097499</v>
      </c>
    </row>
    <row r="79" spans="1:6" ht="14.25" customHeight="1">
      <c r="A79" s="64" t="s">
        <v>108</v>
      </c>
      <c r="B79" s="83" t="s">
        <v>67</v>
      </c>
      <c r="C79" s="83" t="s">
        <v>79</v>
      </c>
      <c r="D79" s="83" t="s">
        <v>114</v>
      </c>
      <c r="E79" s="83" t="s">
        <v>107</v>
      </c>
      <c r="F79" s="184">
        <f>'вед '!G61</f>
        <v>1097499</v>
      </c>
    </row>
    <row r="80" spans="1:6" ht="12.75">
      <c r="A80" s="92" t="s">
        <v>81</v>
      </c>
      <c r="B80" s="93" t="s">
        <v>69</v>
      </c>
      <c r="C80" s="93"/>
      <c r="D80" s="93"/>
      <c r="E80" s="93"/>
      <c r="F80" s="190">
        <f>F81</f>
        <v>533000</v>
      </c>
    </row>
    <row r="81" spans="1:6" ht="12.75">
      <c r="A81" s="81" t="s">
        <v>82</v>
      </c>
      <c r="B81" s="83" t="s">
        <v>69</v>
      </c>
      <c r="C81" s="83" t="s">
        <v>71</v>
      </c>
      <c r="D81" s="103"/>
      <c r="E81" s="83"/>
      <c r="F81" s="189">
        <f>F82</f>
        <v>533000</v>
      </c>
    </row>
    <row r="82" spans="1:6" ht="12.75">
      <c r="A82" s="81" t="s">
        <v>112</v>
      </c>
      <c r="B82" s="83" t="s">
        <v>69</v>
      </c>
      <c r="C82" s="83" t="s">
        <v>71</v>
      </c>
      <c r="D82" s="103" t="s">
        <v>113</v>
      </c>
      <c r="E82" s="83"/>
      <c r="F82" s="189">
        <f>F83</f>
        <v>533000</v>
      </c>
    </row>
    <row r="83" spans="1:6" ht="38.25">
      <c r="A83" s="81" t="s">
        <v>83</v>
      </c>
      <c r="B83" s="83" t="s">
        <v>69</v>
      </c>
      <c r="C83" s="83" t="s">
        <v>71</v>
      </c>
      <c r="D83" s="103" t="s">
        <v>118</v>
      </c>
      <c r="E83" s="83"/>
      <c r="F83" s="189">
        <f>F84</f>
        <v>533000</v>
      </c>
    </row>
    <row r="84" spans="1:6" ht="25.5">
      <c r="A84" s="81" t="s">
        <v>17</v>
      </c>
      <c r="B84" s="83" t="s">
        <v>69</v>
      </c>
      <c r="C84" s="83" t="s">
        <v>71</v>
      </c>
      <c r="D84" s="103" t="s">
        <v>118</v>
      </c>
      <c r="E84" s="83" t="s">
        <v>18</v>
      </c>
      <c r="F84" s="189">
        <f>F85+F86</f>
        <v>533000</v>
      </c>
    </row>
    <row r="85" spans="1:6" ht="25.5">
      <c r="A85" s="81" t="s">
        <v>209</v>
      </c>
      <c r="B85" s="83" t="s">
        <v>69</v>
      </c>
      <c r="C85" s="83" t="s">
        <v>71</v>
      </c>
      <c r="D85" s="103" t="s">
        <v>118</v>
      </c>
      <c r="E85" s="83" t="s">
        <v>31</v>
      </c>
      <c r="F85" s="189">
        <f>'вед '!G67</f>
        <v>405000</v>
      </c>
    </row>
    <row r="86" spans="1:6" ht="51">
      <c r="A86" s="81" t="s">
        <v>211</v>
      </c>
      <c r="B86" s="83" t="s">
        <v>69</v>
      </c>
      <c r="C86" s="83" t="s">
        <v>71</v>
      </c>
      <c r="D86" s="103" t="s">
        <v>118</v>
      </c>
      <c r="E86" s="83" t="s">
        <v>177</v>
      </c>
      <c r="F86" s="189">
        <f>'вед '!G68</f>
        <v>128000</v>
      </c>
    </row>
    <row r="87" spans="1:6" ht="25.5">
      <c r="A87" s="92" t="s">
        <v>84</v>
      </c>
      <c r="B87" s="93" t="s">
        <v>71</v>
      </c>
      <c r="C87" s="93"/>
      <c r="D87" s="93"/>
      <c r="E87" s="93"/>
      <c r="F87" s="190">
        <f>F88</f>
        <v>590711.66</v>
      </c>
    </row>
    <row r="88" spans="1:6" ht="38.25">
      <c r="A88" s="104" t="s">
        <v>184</v>
      </c>
      <c r="B88" s="95" t="s">
        <v>71</v>
      </c>
      <c r="C88" s="95" t="s">
        <v>85</v>
      </c>
      <c r="D88" s="95"/>
      <c r="E88" s="95"/>
      <c r="F88" s="188">
        <f>F89+F94</f>
        <v>590711.66</v>
      </c>
    </row>
    <row r="89" spans="1:6" ht="63.75">
      <c r="A89" s="105" t="s">
        <v>183</v>
      </c>
      <c r="B89" s="86" t="s">
        <v>71</v>
      </c>
      <c r="C89" s="86" t="s">
        <v>85</v>
      </c>
      <c r="D89" s="86" t="s">
        <v>119</v>
      </c>
      <c r="E89" s="86"/>
      <c r="F89" s="191">
        <f>F90</f>
        <v>190711.66000000003</v>
      </c>
    </row>
    <row r="90" spans="1:6" ht="38.25">
      <c r="A90" s="105" t="s">
        <v>120</v>
      </c>
      <c r="B90" s="86" t="s">
        <v>71</v>
      </c>
      <c r="C90" s="86" t="s">
        <v>85</v>
      </c>
      <c r="D90" s="86" t="s">
        <v>121</v>
      </c>
      <c r="E90" s="86"/>
      <c r="F90" s="191">
        <f>F91</f>
        <v>190711.66000000003</v>
      </c>
    </row>
    <row r="91" spans="1:6" ht="12.75">
      <c r="A91" s="105" t="s">
        <v>122</v>
      </c>
      <c r="B91" s="86" t="s">
        <v>71</v>
      </c>
      <c r="C91" s="86" t="s">
        <v>85</v>
      </c>
      <c r="D91" s="86" t="s">
        <v>123</v>
      </c>
      <c r="E91" s="86"/>
      <c r="F91" s="191">
        <f>F92</f>
        <v>190711.66000000003</v>
      </c>
    </row>
    <row r="92" spans="1:6" ht="38.25">
      <c r="A92" s="64" t="s">
        <v>19</v>
      </c>
      <c r="B92" s="86" t="s">
        <v>71</v>
      </c>
      <c r="C92" s="86" t="s">
        <v>85</v>
      </c>
      <c r="D92" s="86" t="s">
        <v>123</v>
      </c>
      <c r="E92" s="86" t="s">
        <v>20</v>
      </c>
      <c r="F92" s="191">
        <f>F93</f>
        <v>190711.66000000003</v>
      </c>
    </row>
    <row r="93" spans="1:6" ht="38.25">
      <c r="A93" s="64" t="s">
        <v>178</v>
      </c>
      <c r="B93" s="86" t="s">
        <v>71</v>
      </c>
      <c r="C93" s="86" t="s">
        <v>85</v>
      </c>
      <c r="D93" s="86" t="s">
        <v>123</v>
      </c>
      <c r="E93" s="83" t="s">
        <v>33</v>
      </c>
      <c r="F93" s="191">
        <f>'вед '!G75</f>
        <v>190711.66000000003</v>
      </c>
    </row>
    <row r="94" spans="1:6" ht="26.25" customHeight="1">
      <c r="A94" s="81" t="s">
        <v>186</v>
      </c>
      <c r="B94" s="86" t="s">
        <v>71</v>
      </c>
      <c r="C94" s="86" t="s">
        <v>85</v>
      </c>
      <c r="D94" s="86" t="s">
        <v>114</v>
      </c>
      <c r="E94" s="103"/>
      <c r="F94" s="191">
        <f>F95</f>
        <v>400000</v>
      </c>
    </row>
    <row r="95" spans="1:6" ht="27" customHeight="1">
      <c r="A95" s="81" t="s">
        <v>186</v>
      </c>
      <c r="B95" s="86" t="s">
        <v>71</v>
      </c>
      <c r="C95" s="86" t="s">
        <v>85</v>
      </c>
      <c r="D95" s="86" t="s">
        <v>114</v>
      </c>
      <c r="E95" s="103" t="s">
        <v>29</v>
      </c>
      <c r="F95" s="191">
        <f>F96</f>
        <v>400000</v>
      </c>
    </row>
    <row r="96" spans="1:6" ht="13.5" customHeight="1">
      <c r="A96" s="64" t="s">
        <v>108</v>
      </c>
      <c r="B96" s="86" t="s">
        <v>71</v>
      </c>
      <c r="C96" s="86" t="s">
        <v>85</v>
      </c>
      <c r="D96" s="86" t="s">
        <v>114</v>
      </c>
      <c r="E96" s="86" t="s">
        <v>107</v>
      </c>
      <c r="F96" s="191">
        <f>'вед '!G78</f>
        <v>400000</v>
      </c>
    </row>
    <row r="97" spans="1:6" ht="12.75">
      <c r="A97" s="107" t="s">
        <v>86</v>
      </c>
      <c r="B97" s="93" t="s">
        <v>73</v>
      </c>
      <c r="C97" s="93"/>
      <c r="D97" s="93"/>
      <c r="E97" s="93"/>
      <c r="F97" s="190">
        <f>F98+F103</f>
        <v>385000</v>
      </c>
    </row>
    <row r="98" spans="1:6" ht="12.75">
      <c r="A98" s="108" t="s">
        <v>23</v>
      </c>
      <c r="B98" s="109" t="s">
        <v>73</v>
      </c>
      <c r="C98" s="109" t="s">
        <v>89</v>
      </c>
      <c r="D98" s="109"/>
      <c r="E98" s="110"/>
      <c r="F98" s="193">
        <f>F99</f>
        <v>328000</v>
      </c>
    </row>
    <row r="99" spans="1:6" ht="12.75">
      <c r="A99" s="111" t="s">
        <v>112</v>
      </c>
      <c r="B99" s="101" t="s">
        <v>73</v>
      </c>
      <c r="C99" s="101" t="s">
        <v>89</v>
      </c>
      <c r="D99" s="101" t="s">
        <v>113</v>
      </c>
      <c r="E99" s="102"/>
      <c r="F99" s="192">
        <f>F100</f>
        <v>328000</v>
      </c>
    </row>
    <row r="100" spans="1:6" ht="26.25" customHeight="1">
      <c r="A100" s="64" t="s">
        <v>90</v>
      </c>
      <c r="B100" s="86" t="s">
        <v>73</v>
      </c>
      <c r="C100" s="86" t="s">
        <v>89</v>
      </c>
      <c r="D100" s="83" t="s">
        <v>124</v>
      </c>
      <c r="E100" s="106"/>
      <c r="F100" s="191">
        <f>F101</f>
        <v>328000</v>
      </c>
    </row>
    <row r="101" spans="1:6" ht="38.25">
      <c r="A101" s="64" t="s">
        <v>19</v>
      </c>
      <c r="B101" s="86" t="s">
        <v>73</v>
      </c>
      <c r="C101" s="86" t="s">
        <v>89</v>
      </c>
      <c r="D101" s="83" t="s">
        <v>124</v>
      </c>
      <c r="E101" s="106" t="s">
        <v>20</v>
      </c>
      <c r="F101" s="191">
        <f>F102</f>
        <v>328000</v>
      </c>
    </row>
    <row r="102" spans="1:6" ht="25.5">
      <c r="A102" s="85" t="s">
        <v>39</v>
      </c>
      <c r="B102" s="86" t="s">
        <v>73</v>
      </c>
      <c r="C102" s="86" t="s">
        <v>89</v>
      </c>
      <c r="D102" s="83" t="s">
        <v>124</v>
      </c>
      <c r="E102" s="106" t="s">
        <v>38</v>
      </c>
      <c r="F102" s="191">
        <f>'вед '!G89</f>
        <v>328000</v>
      </c>
    </row>
    <row r="103" spans="1:6" ht="25.5">
      <c r="A103" s="104" t="s">
        <v>91</v>
      </c>
      <c r="B103" s="95" t="s">
        <v>73</v>
      </c>
      <c r="C103" s="95" t="s">
        <v>92</v>
      </c>
      <c r="D103" s="95"/>
      <c r="E103" s="95"/>
      <c r="F103" s="188">
        <f>F104</f>
        <v>57000</v>
      </c>
    </row>
    <row r="104" spans="1:6" ht="12.75">
      <c r="A104" s="112" t="s">
        <v>112</v>
      </c>
      <c r="B104" s="101" t="s">
        <v>73</v>
      </c>
      <c r="C104" s="101" t="s">
        <v>92</v>
      </c>
      <c r="D104" s="101" t="s">
        <v>113</v>
      </c>
      <c r="E104" s="101"/>
      <c r="F104" s="192">
        <f>F105</f>
        <v>57000</v>
      </c>
    </row>
    <row r="105" spans="1:6" ht="25.5">
      <c r="A105" s="76" t="s">
        <v>0</v>
      </c>
      <c r="B105" s="86" t="s">
        <v>73</v>
      </c>
      <c r="C105" s="86" t="s">
        <v>92</v>
      </c>
      <c r="D105" s="86" t="s">
        <v>125</v>
      </c>
      <c r="E105" s="86"/>
      <c r="F105" s="191">
        <f>F106</f>
        <v>57000</v>
      </c>
    </row>
    <row r="106" spans="1:6" ht="38.25">
      <c r="A106" s="64" t="s">
        <v>19</v>
      </c>
      <c r="B106" s="86" t="s">
        <v>73</v>
      </c>
      <c r="C106" s="86" t="s">
        <v>92</v>
      </c>
      <c r="D106" s="86" t="s">
        <v>125</v>
      </c>
      <c r="E106" s="86" t="s">
        <v>20</v>
      </c>
      <c r="F106" s="191">
        <f>F107</f>
        <v>57000</v>
      </c>
    </row>
    <row r="107" spans="1:6" ht="38.25">
      <c r="A107" s="64" t="s">
        <v>178</v>
      </c>
      <c r="B107" s="86" t="s">
        <v>73</v>
      </c>
      <c r="C107" s="86" t="s">
        <v>92</v>
      </c>
      <c r="D107" s="86" t="s">
        <v>125</v>
      </c>
      <c r="E107" s="106" t="s">
        <v>33</v>
      </c>
      <c r="F107" s="191">
        <f>'вед '!G94</f>
        <v>57000</v>
      </c>
    </row>
    <row r="108" spans="1:6" ht="12.75">
      <c r="A108" s="92" t="s">
        <v>1</v>
      </c>
      <c r="B108" s="93" t="s">
        <v>2</v>
      </c>
      <c r="C108" s="93"/>
      <c r="D108" s="93"/>
      <c r="E108" s="93"/>
      <c r="F108" s="180">
        <f>F109</f>
        <v>54386953.27000001</v>
      </c>
    </row>
    <row r="109" spans="1:6" ht="12.75">
      <c r="A109" s="94" t="s">
        <v>5</v>
      </c>
      <c r="B109" s="95" t="s">
        <v>2</v>
      </c>
      <c r="C109" s="95" t="s">
        <v>71</v>
      </c>
      <c r="D109" s="95"/>
      <c r="E109" s="95"/>
      <c r="F109" s="181">
        <f>F110+F126+F131</f>
        <v>54386953.27000001</v>
      </c>
    </row>
    <row r="110" spans="1:6" ht="51">
      <c r="A110" s="75" t="s">
        <v>185</v>
      </c>
      <c r="B110" s="101" t="s">
        <v>2</v>
      </c>
      <c r="C110" s="101" t="s">
        <v>71</v>
      </c>
      <c r="D110" s="101" t="s">
        <v>126</v>
      </c>
      <c r="E110" s="101"/>
      <c r="F110" s="194">
        <f>F111+F116+F121</f>
        <v>9279416.170000002</v>
      </c>
    </row>
    <row r="111" spans="1:6" ht="12.75">
      <c r="A111" s="75" t="s">
        <v>136</v>
      </c>
      <c r="B111" s="101" t="s">
        <v>2</v>
      </c>
      <c r="C111" s="101" t="s">
        <v>71</v>
      </c>
      <c r="D111" s="101" t="s">
        <v>127</v>
      </c>
      <c r="E111" s="101"/>
      <c r="F111" s="194">
        <f>F112</f>
        <v>5804971.470000001</v>
      </c>
    </row>
    <row r="112" spans="1:6" ht="38.25">
      <c r="A112" s="75" t="s">
        <v>120</v>
      </c>
      <c r="B112" s="101" t="s">
        <v>2</v>
      </c>
      <c r="C112" s="101" t="s">
        <v>71</v>
      </c>
      <c r="D112" s="101" t="s">
        <v>128</v>
      </c>
      <c r="E112" s="101"/>
      <c r="F112" s="194">
        <f>F113</f>
        <v>5804971.470000001</v>
      </c>
    </row>
    <row r="113" spans="1:6" ht="12.75">
      <c r="A113" s="75" t="s">
        <v>129</v>
      </c>
      <c r="B113" s="101" t="s">
        <v>2</v>
      </c>
      <c r="C113" s="101" t="s">
        <v>71</v>
      </c>
      <c r="D113" s="101" t="s">
        <v>130</v>
      </c>
      <c r="E113" s="101"/>
      <c r="F113" s="194">
        <f>F114</f>
        <v>5804971.470000001</v>
      </c>
    </row>
    <row r="114" spans="1:6" ht="38.25">
      <c r="A114" s="64" t="s">
        <v>19</v>
      </c>
      <c r="B114" s="101" t="s">
        <v>2</v>
      </c>
      <c r="C114" s="101" t="s">
        <v>71</v>
      </c>
      <c r="D114" s="101" t="s">
        <v>130</v>
      </c>
      <c r="E114" s="101" t="s">
        <v>20</v>
      </c>
      <c r="F114" s="194">
        <f>F115</f>
        <v>5804971.470000001</v>
      </c>
    </row>
    <row r="115" spans="1:6" ht="38.25">
      <c r="A115" s="64" t="s">
        <v>178</v>
      </c>
      <c r="B115" s="101" t="s">
        <v>2</v>
      </c>
      <c r="C115" s="101" t="s">
        <v>71</v>
      </c>
      <c r="D115" s="101" t="s">
        <v>130</v>
      </c>
      <c r="E115" s="106" t="s">
        <v>33</v>
      </c>
      <c r="F115" s="182">
        <f>'вед '!G106</f>
        <v>5804971.470000001</v>
      </c>
    </row>
    <row r="116" spans="1:6" ht="12.75">
      <c r="A116" s="75" t="s">
        <v>207</v>
      </c>
      <c r="B116" s="86" t="s">
        <v>2</v>
      </c>
      <c r="C116" s="86" t="s">
        <v>71</v>
      </c>
      <c r="D116" s="86" t="s">
        <v>131</v>
      </c>
      <c r="E116" s="86"/>
      <c r="F116" s="194">
        <f>F117</f>
        <v>479600</v>
      </c>
    </row>
    <row r="117" spans="1:6" ht="38.25">
      <c r="A117" s="75" t="s">
        <v>120</v>
      </c>
      <c r="B117" s="86" t="s">
        <v>2</v>
      </c>
      <c r="C117" s="86" t="s">
        <v>71</v>
      </c>
      <c r="D117" s="86" t="s">
        <v>132</v>
      </c>
      <c r="E117" s="86"/>
      <c r="F117" s="194">
        <f>F118</f>
        <v>479600</v>
      </c>
    </row>
    <row r="118" spans="1:6" ht="12.75">
      <c r="A118" s="75" t="s">
        <v>208</v>
      </c>
      <c r="B118" s="86" t="s">
        <v>2</v>
      </c>
      <c r="C118" s="86" t="s">
        <v>71</v>
      </c>
      <c r="D118" s="86" t="s">
        <v>133</v>
      </c>
      <c r="E118" s="86"/>
      <c r="F118" s="194">
        <f>F119</f>
        <v>479600</v>
      </c>
    </row>
    <row r="119" spans="1:6" ht="38.25">
      <c r="A119" s="64" t="s">
        <v>19</v>
      </c>
      <c r="B119" s="86" t="s">
        <v>2</v>
      </c>
      <c r="C119" s="86" t="s">
        <v>71</v>
      </c>
      <c r="D119" s="86" t="s">
        <v>133</v>
      </c>
      <c r="E119" s="86" t="s">
        <v>20</v>
      </c>
      <c r="F119" s="194">
        <f>F120</f>
        <v>479600</v>
      </c>
    </row>
    <row r="120" spans="1:6" ht="38.25">
      <c r="A120" s="64" t="s">
        <v>178</v>
      </c>
      <c r="B120" s="86" t="s">
        <v>2</v>
      </c>
      <c r="C120" s="86" t="s">
        <v>71</v>
      </c>
      <c r="D120" s="86" t="s">
        <v>133</v>
      </c>
      <c r="E120" s="86" t="s">
        <v>33</v>
      </c>
      <c r="F120" s="182">
        <f>'вед '!G111</f>
        <v>479600</v>
      </c>
    </row>
    <row r="121" spans="1:6" ht="12.75">
      <c r="A121" s="75" t="s">
        <v>137</v>
      </c>
      <c r="B121" s="86" t="s">
        <v>2</v>
      </c>
      <c r="C121" s="86" t="s">
        <v>71</v>
      </c>
      <c r="D121" s="86" t="s">
        <v>204</v>
      </c>
      <c r="E121" s="86"/>
      <c r="F121" s="195">
        <f>F125</f>
        <v>2994844.7</v>
      </c>
    </row>
    <row r="122" spans="1:6" ht="38.25">
      <c r="A122" s="75" t="s">
        <v>120</v>
      </c>
      <c r="B122" s="86" t="s">
        <v>2</v>
      </c>
      <c r="C122" s="86" t="s">
        <v>71</v>
      </c>
      <c r="D122" s="86" t="s">
        <v>205</v>
      </c>
      <c r="E122" s="86"/>
      <c r="F122" s="195">
        <f>F123</f>
        <v>2994844.7</v>
      </c>
    </row>
    <row r="123" spans="1:6" ht="12.75">
      <c r="A123" s="75" t="s">
        <v>134</v>
      </c>
      <c r="B123" s="86" t="s">
        <v>2</v>
      </c>
      <c r="C123" s="86" t="s">
        <v>71</v>
      </c>
      <c r="D123" s="86" t="s">
        <v>206</v>
      </c>
      <c r="E123" s="86"/>
      <c r="F123" s="195">
        <f>F124</f>
        <v>2994844.7</v>
      </c>
    </row>
    <row r="124" spans="1:6" ht="38.25">
      <c r="A124" s="64" t="s">
        <v>19</v>
      </c>
      <c r="B124" s="86" t="s">
        <v>2</v>
      </c>
      <c r="C124" s="86" t="s">
        <v>71</v>
      </c>
      <c r="D124" s="86" t="s">
        <v>206</v>
      </c>
      <c r="E124" s="86" t="s">
        <v>20</v>
      </c>
      <c r="F124" s="195">
        <f>F125</f>
        <v>2994844.7</v>
      </c>
    </row>
    <row r="125" spans="1:6" ht="38.25">
      <c r="A125" s="64" t="s">
        <v>178</v>
      </c>
      <c r="B125" s="86" t="s">
        <v>2</v>
      </c>
      <c r="C125" s="86" t="s">
        <v>71</v>
      </c>
      <c r="D125" s="86" t="s">
        <v>206</v>
      </c>
      <c r="E125" s="86" t="s">
        <v>33</v>
      </c>
      <c r="F125" s="195">
        <f>'вед '!G116</f>
        <v>2994844.7</v>
      </c>
    </row>
    <row r="126" spans="1:6" ht="51">
      <c r="A126" s="228" t="s">
        <v>234</v>
      </c>
      <c r="B126" s="101" t="s">
        <v>2</v>
      </c>
      <c r="C126" s="101" t="s">
        <v>71</v>
      </c>
      <c r="D126" s="86" t="s">
        <v>233</v>
      </c>
      <c r="E126" s="86"/>
      <c r="F126" s="195">
        <f>F127+F129</f>
        <v>15000000</v>
      </c>
    </row>
    <row r="127" spans="1:6" ht="93.75" customHeight="1">
      <c r="A127" s="75" t="s">
        <v>361</v>
      </c>
      <c r="B127" s="101" t="s">
        <v>2</v>
      </c>
      <c r="C127" s="101" t="s">
        <v>71</v>
      </c>
      <c r="D127" s="101" t="s">
        <v>231</v>
      </c>
      <c r="E127" s="86"/>
      <c r="F127" s="195">
        <f>F128</f>
        <v>14250000</v>
      </c>
    </row>
    <row r="128" spans="1:6" ht="12.75">
      <c r="A128" s="64" t="s">
        <v>59</v>
      </c>
      <c r="B128" s="86" t="s">
        <v>2</v>
      </c>
      <c r="C128" s="86" t="s">
        <v>71</v>
      </c>
      <c r="D128" s="101" t="s">
        <v>231</v>
      </c>
      <c r="E128" s="86" t="s">
        <v>30</v>
      </c>
      <c r="F128" s="195">
        <f>'вед '!G119</f>
        <v>14250000</v>
      </c>
    </row>
    <row r="129" spans="1:6" ht="52.5" customHeight="1">
      <c r="A129" s="75" t="s">
        <v>360</v>
      </c>
      <c r="B129" s="101" t="s">
        <v>2</v>
      </c>
      <c r="C129" s="101" t="s">
        <v>71</v>
      </c>
      <c r="D129" s="101" t="s">
        <v>357</v>
      </c>
      <c r="E129" s="86"/>
      <c r="F129" s="195">
        <f>F130</f>
        <v>750000</v>
      </c>
    </row>
    <row r="130" spans="1:6" ht="12.75">
      <c r="A130" s="64" t="s">
        <v>59</v>
      </c>
      <c r="B130" s="86" t="s">
        <v>2</v>
      </c>
      <c r="C130" s="86" t="s">
        <v>71</v>
      </c>
      <c r="D130" s="101" t="s">
        <v>357</v>
      </c>
      <c r="E130" s="86" t="s">
        <v>30</v>
      </c>
      <c r="F130" s="195">
        <f>'вед '!G121</f>
        <v>750000</v>
      </c>
    </row>
    <row r="131" spans="1:6" ht="12.75">
      <c r="A131" s="87" t="s">
        <v>112</v>
      </c>
      <c r="B131" s="86" t="s">
        <v>2</v>
      </c>
      <c r="C131" s="86" t="s">
        <v>71</v>
      </c>
      <c r="D131" s="86" t="s">
        <v>113</v>
      </c>
      <c r="E131" s="86"/>
      <c r="F131" s="195">
        <f>F132</f>
        <v>30107537.100000005</v>
      </c>
    </row>
    <row r="132" spans="1:6" ht="27.75" customHeight="1">
      <c r="A132" s="81" t="s">
        <v>186</v>
      </c>
      <c r="B132" s="86" t="s">
        <v>2</v>
      </c>
      <c r="C132" s="86" t="s">
        <v>71</v>
      </c>
      <c r="D132" s="86" t="s">
        <v>114</v>
      </c>
      <c r="E132" s="86"/>
      <c r="F132" s="195">
        <f>F133</f>
        <v>30107537.100000005</v>
      </c>
    </row>
    <row r="133" spans="1:6" ht="27.75" customHeight="1">
      <c r="A133" s="81" t="s">
        <v>186</v>
      </c>
      <c r="B133" s="86" t="s">
        <v>2</v>
      </c>
      <c r="C133" s="86" t="s">
        <v>71</v>
      </c>
      <c r="D133" s="86" t="s">
        <v>114</v>
      </c>
      <c r="E133" s="86" t="s">
        <v>29</v>
      </c>
      <c r="F133" s="195">
        <f>F134+F135</f>
        <v>30107537.100000005</v>
      </c>
    </row>
    <row r="134" spans="1:6" ht="63.75">
      <c r="A134" s="64" t="s">
        <v>213</v>
      </c>
      <c r="B134" s="86" t="s">
        <v>2</v>
      </c>
      <c r="C134" s="86" t="s">
        <v>71</v>
      </c>
      <c r="D134" s="86" t="s">
        <v>114</v>
      </c>
      <c r="E134" s="86" t="s">
        <v>106</v>
      </c>
      <c r="F134" s="224">
        <f>'вед '!G125</f>
        <v>27319231.800000004</v>
      </c>
    </row>
    <row r="135" spans="1:6" ht="12.75" customHeight="1">
      <c r="A135" s="64" t="s">
        <v>108</v>
      </c>
      <c r="B135" s="86" t="s">
        <v>2</v>
      </c>
      <c r="C135" s="86" t="s">
        <v>71</v>
      </c>
      <c r="D135" s="86" t="s">
        <v>114</v>
      </c>
      <c r="E135" s="86" t="s">
        <v>107</v>
      </c>
      <c r="F135" s="224">
        <f>'вед '!G126</f>
        <v>2788305.3</v>
      </c>
    </row>
    <row r="136" spans="1:6" ht="12.75">
      <c r="A136" s="92" t="s">
        <v>6</v>
      </c>
      <c r="B136" s="93" t="s">
        <v>87</v>
      </c>
      <c r="C136" s="93"/>
      <c r="D136" s="93"/>
      <c r="E136" s="93"/>
      <c r="F136" s="190">
        <f>F137+F163</f>
        <v>48849457.39</v>
      </c>
    </row>
    <row r="137" spans="1:6" ht="12.75">
      <c r="A137" s="94" t="s">
        <v>7</v>
      </c>
      <c r="B137" s="95" t="s">
        <v>87</v>
      </c>
      <c r="C137" s="95" t="s">
        <v>67</v>
      </c>
      <c r="D137" s="95"/>
      <c r="E137" s="95"/>
      <c r="F137" s="188">
        <f>F138</f>
        <v>39027637.39</v>
      </c>
    </row>
    <row r="138" spans="1:6" ht="12.75">
      <c r="A138" s="113" t="s">
        <v>96</v>
      </c>
      <c r="B138" s="114" t="s">
        <v>87</v>
      </c>
      <c r="C138" s="114" t="s">
        <v>67</v>
      </c>
      <c r="D138" s="114" t="s">
        <v>135</v>
      </c>
      <c r="E138" s="114"/>
      <c r="F138" s="196">
        <f>F139+F153+F158</f>
        <v>39027637.39</v>
      </c>
    </row>
    <row r="139" spans="1:6" ht="25.5">
      <c r="A139" s="81" t="s">
        <v>187</v>
      </c>
      <c r="B139" s="83" t="s">
        <v>87</v>
      </c>
      <c r="C139" s="83" t="s">
        <v>67</v>
      </c>
      <c r="D139" s="83" t="s">
        <v>138</v>
      </c>
      <c r="E139" s="83"/>
      <c r="F139" s="192">
        <f>F140</f>
        <v>37427637.39</v>
      </c>
    </row>
    <row r="140" spans="1:6" ht="25.5">
      <c r="A140" s="81" t="s">
        <v>139</v>
      </c>
      <c r="B140" s="83" t="s">
        <v>87</v>
      </c>
      <c r="C140" s="83" t="s">
        <v>67</v>
      </c>
      <c r="D140" s="83" t="s">
        <v>141</v>
      </c>
      <c r="E140" s="83"/>
      <c r="F140" s="192">
        <f>F141</f>
        <v>37427637.39</v>
      </c>
    </row>
    <row r="141" spans="1:6" ht="25.5">
      <c r="A141" s="81" t="s">
        <v>220</v>
      </c>
      <c r="B141" s="83" t="s">
        <v>87</v>
      </c>
      <c r="C141" s="83" t="s">
        <v>67</v>
      </c>
      <c r="D141" s="83" t="s">
        <v>142</v>
      </c>
      <c r="E141" s="83"/>
      <c r="F141" s="192">
        <f>F142+F146+F149</f>
        <v>37427637.39</v>
      </c>
    </row>
    <row r="142" spans="1:6" ht="63.75">
      <c r="A142" s="81" t="s">
        <v>140</v>
      </c>
      <c r="B142" s="83" t="s">
        <v>87</v>
      </c>
      <c r="C142" s="83" t="s">
        <v>67</v>
      </c>
      <c r="D142" s="83" t="s">
        <v>142</v>
      </c>
      <c r="E142" s="83" t="s">
        <v>25</v>
      </c>
      <c r="F142" s="192">
        <f>F143+F144+F145</f>
        <v>29268837.64</v>
      </c>
    </row>
    <row r="143" spans="1:6" ht="12.75">
      <c r="A143" s="81" t="s">
        <v>214</v>
      </c>
      <c r="B143" s="86" t="s">
        <v>87</v>
      </c>
      <c r="C143" s="86" t="s">
        <v>67</v>
      </c>
      <c r="D143" s="83" t="s">
        <v>142</v>
      </c>
      <c r="E143" s="83" t="s">
        <v>54</v>
      </c>
      <c r="F143" s="184">
        <f>'вед '!G134</f>
        <v>22530887.64</v>
      </c>
    </row>
    <row r="144" spans="1:6" ht="25.5">
      <c r="A144" s="81" t="s">
        <v>216</v>
      </c>
      <c r="B144" s="86" t="s">
        <v>87</v>
      </c>
      <c r="C144" s="86" t="s">
        <v>67</v>
      </c>
      <c r="D144" s="83" t="s">
        <v>142</v>
      </c>
      <c r="E144" s="83" t="s">
        <v>55</v>
      </c>
      <c r="F144" s="184">
        <f>'вед '!G135</f>
        <v>650</v>
      </c>
    </row>
    <row r="145" spans="1:6" ht="51">
      <c r="A145" s="81" t="s">
        <v>215</v>
      </c>
      <c r="B145" s="86" t="s">
        <v>87</v>
      </c>
      <c r="C145" s="86" t="s">
        <v>67</v>
      </c>
      <c r="D145" s="83" t="s">
        <v>142</v>
      </c>
      <c r="E145" s="83" t="s">
        <v>188</v>
      </c>
      <c r="F145" s="184">
        <f>'вед '!G136</f>
        <v>6737300</v>
      </c>
    </row>
    <row r="146" spans="1:6" ht="38.25">
      <c r="A146" s="64" t="s">
        <v>19</v>
      </c>
      <c r="B146" s="86" t="s">
        <v>87</v>
      </c>
      <c r="C146" s="86" t="s">
        <v>67</v>
      </c>
      <c r="D146" s="83" t="s">
        <v>142</v>
      </c>
      <c r="E146" s="83" t="s">
        <v>20</v>
      </c>
      <c r="F146" s="184">
        <f>'вед '!G137</f>
        <v>7740249.75</v>
      </c>
    </row>
    <row r="147" spans="1:6" ht="25.5">
      <c r="A147" s="64" t="s">
        <v>39</v>
      </c>
      <c r="B147" s="86" t="s">
        <v>87</v>
      </c>
      <c r="C147" s="86" t="s">
        <v>67</v>
      </c>
      <c r="D147" s="83" t="s">
        <v>142</v>
      </c>
      <c r="E147" s="83" t="s">
        <v>38</v>
      </c>
      <c r="F147" s="184">
        <f>'вед '!G138</f>
        <v>185000</v>
      </c>
    </row>
    <row r="148" spans="1:6" ht="38.25">
      <c r="A148" s="64" t="s">
        <v>178</v>
      </c>
      <c r="B148" s="86" t="s">
        <v>87</v>
      </c>
      <c r="C148" s="86" t="s">
        <v>67</v>
      </c>
      <c r="D148" s="83" t="s">
        <v>142</v>
      </c>
      <c r="E148" s="83" t="s">
        <v>33</v>
      </c>
      <c r="F148" s="184">
        <f>'вед '!G139</f>
        <v>7555249.75</v>
      </c>
    </row>
    <row r="149" spans="1:6" ht="12.75">
      <c r="A149" s="64" t="s">
        <v>21</v>
      </c>
      <c r="B149" s="86" t="s">
        <v>87</v>
      </c>
      <c r="C149" s="86" t="s">
        <v>67</v>
      </c>
      <c r="D149" s="83" t="s">
        <v>142</v>
      </c>
      <c r="E149" s="83" t="s">
        <v>22</v>
      </c>
      <c r="F149" s="184">
        <f>'вед '!G140</f>
        <v>418550</v>
      </c>
    </row>
    <row r="150" spans="1:6" ht="25.5">
      <c r="A150" s="64" t="s">
        <v>37</v>
      </c>
      <c r="B150" s="86" t="s">
        <v>87</v>
      </c>
      <c r="C150" s="86" t="s">
        <v>67</v>
      </c>
      <c r="D150" s="83" t="s">
        <v>142</v>
      </c>
      <c r="E150" s="84" t="s">
        <v>35</v>
      </c>
      <c r="F150" s="184">
        <f>'вед '!G141</f>
        <v>70000</v>
      </c>
    </row>
    <row r="151" spans="1:6" ht="12.75">
      <c r="A151" s="64" t="s">
        <v>212</v>
      </c>
      <c r="B151" s="86" t="s">
        <v>87</v>
      </c>
      <c r="C151" s="86" t="s">
        <v>67</v>
      </c>
      <c r="D151" s="83" t="s">
        <v>142</v>
      </c>
      <c r="E151" s="84" t="s">
        <v>36</v>
      </c>
      <c r="F151" s="184">
        <f>'вед '!G142</f>
        <v>200000</v>
      </c>
    </row>
    <row r="152" spans="1:6" ht="12.75">
      <c r="A152" s="64" t="s">
        <v>103</v>
      </c>
      <c r="B152" s="86" t="s">
        <v>87</v>
      </c>
      <c r="C152" s="86" t="s">
        <v>67</v>
      </c>
      <c r="D152" s="83" t="s">
        <v>142</v>
      </c>
      <c r="E152" s="84" t="s">
        <v>102</v>
      </c>
      <c r="F152" s="184">
        <f>'вед '!G143</f>
        <v>148550</v>
      </c>
    </row>
    <row r="153" spans="1:6" ht="25.5">
      <c r="A153" s="64" t="s">
        <v>189</v>
      </c>
      <c r="B153" s="86" t="s">
        <v>87</v>
      </c>
      <c r="C153" s="86" t="s">
        <v>67</v>
      </c>
      <c r="D153" s="86" t="s">
        <v>144</v>
      </c>
      <c r="E153" s="84"/>
      <c r="F153" s="192">
        <f>F154</f>
        <v>1350000</v>
      </c>
    </row>
    <row r="154" spans="1:6" ht="25.5">
      <c r="A154" s="81" t="s">
        <v>139</v>
      </c>
      <c r="B154" s="86" t="s">
        <v>87</v>
      </c>
      <c r="C154" s="86" t="s">
        <v>67</v>
      </c>
      <c r="D154" s="86" t="s">
        <v>145</v>
      </c>
      <c r="E154" s="84"/>
      <c r="F154" s="192">
        <f>F155</f>
        <v>1350000</v>
      </c>
    </row>
    <row r="155" spans="1:6" ht="25.5">
      <c r="A155" s="64" t="s">
        <v>146</v>
      </c>
      <c r="B155" s="86" t="s">
        <v>87</v>
      </c>
      <c r="C155" s="86" t="s">
        <v>67</v>
      </c>
      <c r="D155" s="86" t="s">
        <v>143</v>
      </c>
      <c r="E155" s="84"/>
      <c r="F155" s="192">
        <f>F156</f>
        <v>1350000</v>
      </c>
    </row>
    <row r="156" spans="1:6" ht="38.25">
      <c r="A156" s="64" t="s">
        <v>19</v>
      </c>
      <c r="B156" s="86" t="s">
        <v>87</v>
      </c>
      <c r="C156" s="86" t="s">
        <v>67</v>
      </c>
      <c r="D156" s="86" t="s">
        <v>143</v>
      </c>
      <c r="E156" s="84" t="s">
        <v>20</v>
      </c>
      <c r="F156" s="192">
        <f>F157</f>
        <v>1350000</v>
      </c>
    </row>
    <row r="157" spans="1:6" ht="38.25">
      <c r="A157" s="64" t="s">
        <v>178</v>
      </c>
      <c r="B157" s="86" t="s">
        <v>87</v>
      </c>
      <c r="C157" s="86" t="s">
        <v>67</v>
      </c>
      <c r="D157" s="86" t="s">
        <v>143</v>
      </c>
      <c r="E157" s="84" t="s">
        <v>33</v>
      </c>
      <c r="F157" s="191">
        <f>'вед '!G148</f>
        <v>1350000</v>
      </c>
    </row>
    <row r="158" spans="1:6" ht="25.5">
      <c r="A158" s="85" t="s">
        <v>193</v>
      </c>
      <c r="B158" s="115" t="s">
        <v>87</v>
      </c>
      <c r="C158" s="115" t="s">
        <v>67</v>
      </c>
      <c r="D158" s="115" t="s">
        <v>192</v>
      </c>
      <c r="E158" s="116"/>
      <c r="F158" s="191">
        <f>F159</f>
        <v>250000</v>
      </c>
    </row>
    <row r="159" spans="1:6" ht="25.5">
      <c r="A159" s="117" t="s">
        <v>139</v>
      </c>
      <c r="B159" s="115" t="s">
        <v>87</v>
      </c>
      <c r="C159" s="115" t="s">
        <v>67</v>
      </c>
      <c r="D159" s="115" t="s">
        <v>195</v>
      </c>
      <c r="E159" s="116"/>
      <c r="F159" s="191">
        <f>F160</f>
        <v>250000</v>
      </c>
    </row>
    <row r="160" spans="1:6" ht="25.5">
      <c r="A160" s="85" t="s">
        <v>194</v>
      </c>
      <c r="B160" s="115" t="s">
        <v>87</v>
      </c>
      <c r="C160" s="115" t="s">
        <v>67</v>
      </c>
      <c r="D160" s="115" t="s">
        <v>196</v>
      </c>
      <c r="E160" s="116"/>
      <c r="F160" s="191">
        <f>F161</f>
        <v>250000</v>
      </c>
    </row>
    <row r="161" spans="1:6" ht="38.25">
      <c r="A161" s="85" t="s">
        <v>19</v>
      </c>
      <c r="B161" s="115" t="s">
        <v>87</v>
      </c>
      <c r="C161" s="115" t="s">
        <v>67</v>
      </c>
      <c r="D161" s="115" t="s">
        <v>196</v>
      </c>
      <c r="E161" s="116" t="s">
        <v>20</v>
      </c>
      <c r="F161" s="191">
        <f>F162</f>
        <v>250000</v>
      </c>
    </row>
    <row r="162" spans="1:6" ht="38.25">
      <c r="A162" s="64" t="s">
        <v>178</v>
      </c>
      <c r="B162" s="115" t="s">
        <v>87</v>
      </c>
      <c r="C162" s="115" t="s">
        <v>67</v>
      </c>
      <c r="D162" s="115" t="s">
        <v>196</v>
      </c>
      <c r="E162" s="116" t="s">
        <v>33</v>
      </c>
      <c r="F162" s="191">
        <f>'вед '!G153</f>
        <v>250000</v>
      </c>
    </row>
    <row r="163" spans="1:6" ht="25.5">
      <c r="A163" s="118" t="s">
        <v>8</v>
      </c>
      <c r="B163" s="119" t="s">
        <v>87</v>
      </c>
      <c r="C163" s="119" t="s">
        <v>73</v>
      </c>
      <c r="D163" s="119"/>
      <c r="E163" s="119"/>
      <c r="F163" s="197">
        <f>F164</f>
        <v>9821820</v>
      </c>
    </row>
    <row r="164" spans="1:6" ht="12.75">
      <c r="A164" s="75" t="s">
        <v>112</v>
      </c>
      <c r="B164" s="101" t="s">
        <v>87</v>
      </c>
      <c r="C164" s="101" t="s">
        <v>73</v>
      </c>
      <c r="D164" s="101" t="s">
        <v>113</v>
      </c>
      <c r="E164" s="101"/>
      <c r="F164" s="192">
        <f>F165</f>
        <v>9821820</v>
      </c>
    </row>
    <row r="165" spans="1:6" ht="12.75">
      <c r="A165" s="76" t="s">
        <v>147</v>
      </c>
      <c r="B165" s="86" t="s">
        <v>87</v>
      </c>
      <c r="C165" s="86" t="s">
        <v>73</v>
      </c>
      <c r="D165" s="86" t="s">
        <v>148</v>
      </c>
      <c r="E165" s="86"/>
      <c r="F165" s="191">
        <f>F166+F169+F172</f>
        <v>9821820</v>
      </c>
    </row>
    <row r="166" spans="1:6" ht="63.75">
      <c r="A166" s="81" t="s">
        <v>140</v>
      </c>
      <c r="B166" s="86" t="s">
        <v>87</v>
      </c>
      <c r="C166" s="86" t="s">
        <v>73</v>
      </c>
      <c r="D166" s="86" t="s">
        <v>148</v>
      </c>
      <c r="E166" s="86" t="s">
        <v>25</v>
      </c>
      <c r="F166" s="191">
        <f>F167+F168</f>
        <v>9378620</v>
      </c>
    </row>
    <row r="167" spans="1:6" ht="12.75">
      <c r="A167" s="81" t="s">
        <v>214</v>
      </c>
      <c r="B167" s="86" t="s">
        <v>87</v>
      </c>
      <c r="C167" s="86" t="s">
        <v>73</v>
      </c>
      <c r="D167" s="86" t="s">
        <v>148</v>
      </c>
      <c r="E167" s="83" t="s">
        <v>54</v>
      </c>
      <c r="F167" s="191">
        <f>'вед '!G158</f>
        <v>7086620</v>
      </c>
    </row>
    <row r="168" spans="1:6" ht="51">
      <c r="A168" s="81" t="s">
        <v>215</v>
      </c>
      <c r="B168" s="86" t="s">
        <v>87</v>
      </c>
      <c r="C168" s="86" t="s">
        <v>73</v>
      </c>
      <c r="D168" s="86" t="s">
        <v>148</v>
      </c>
      <c r="E168" s="83" t="s">
        <v>188</v>
      </c>
      <c r="F168" s="191">
        <f>'вед '!G159</f>
        <v>2292000</v>
      </c>
    </row>
    <row r="169" spans="1:6" ht="38.25">
      <c r="A169" s="64" t="s">
        <v>19</v>
      </c>
      <c r="B169" s="86" t="s">
        <v>87</v>
      </c>
      <c r="C169" s="86" t="s">
        <v>73</v>
      </c>
      <c r="D169" s="86" t="s">
        <v>148</v>
      </c>
      <c r="E169" s="83" t="s">
        <v>20</v>
      </c>
      <c r="F169" s="191">
        <f>'вед '!G160</f>
        <v>388200</v>
      </c>
    </row>
    <row r="170" spans="1:6" ht="25.5">
      <c r="A170" s="64" t="s">
        <v>39</v>
      </c>
      <c r="B170" s="86" t="s">
        <v>87</v>
      </c>
      <c r="C170" s="86" t="s">
        <v>73</v>
      </c>
      <c r="D170" s="86" t="s">
        <v>148</v>
      </c>
      <c r="E170" s="83" t="s">
        <v>38</v>
      </c>
      <c r="F170" s="191">
        <f>'вед '!G161</f>
        <v>336000</v>
      </c>
    </row>
    <row r="171" spans="1:6" ht="38.25">
      <c r="A171" s="64" t="s">
        <v>178</v>
      </c>
      <c r="B171" s="86" t="s">
        <v>87</v>
      </c>
      <c r="C171" s="86" t="s">
        <v>73</v>
      </c>
      <c r="D171" s="86" t="s">
        <v>148</v>
      </c>
      <c r="E171" s="83" t="s">
        <v>33</v>
      </c>
      <c r="F171" s="191">
        <f>'вед '!G162</f>
        <v>52200</v>
      </c>
    </row>
    <row r="172" spans="1:6" ht="12.75">
      <c r="A172" s="64" t="s">
        <v>21</v>
      </c>
      <c r="B172" s="86" t="s">
        <v>87</v>
      </c>
      <c r="C172" s="86" t="s">
        <v>73</v>
      </c>
      <c r="D172" s="86" t="s">
        <v>148</v>
      </c>
      <c r="E172" s="83" t="s">
        <v>22</v>
      </c>
      <c r="F172" s="191">
        <f>'вед '!G163</f>
        <v>55000</v>
      </c>
    </row>
    <row r="173" spans="1:6" ht="25.5">
      <c r="A173" s="64" t="s">
        <v>37</v>
      </c>
      <c r="B173" s="86" t="s">
        <v>87</v>
      </c>
      <c r="C173" s="86" t="s">
        <v>73</v>
      </c>
      <c r="D173" s="86" t="s">
        <v>148</v>
      </c>
      <c r="E173" s="84" t="s">
        <v>35</v>
      </c>
      <c r="F173" s="191">
        <f>'вед '!G164</f>
        <v>5000</v>
      </c>
    </row>
    <row r="174" spans="1:6" ht="12.75">
      <c r="A174" s="64" t="s">
        <v>212</v>
      </c>
      <c r="B174" s="86" t="s">
        <v>87</v>
      </c>
      <c r="C174" s="86" t="s">
        <v>73</v>
      </c>
      <c r="D174" s="86" t="s">
        <v>148</v>
      </c>
      <c r="E174" s="84" t="s">
        <v>36</v>
      </c>
      <c r="F174" s="191">
        <f>'вед '!G165</f>
        <v>10000</v>
      </c>
    </row>
    <row r="175" spans="1:6" ht="12.75">
      <c r="A175" s="64" t="s">
        <v>103</v>
      </c>
      <c r="B175" s="86" t="s">
        <v>87</v>
      </c>
      <c r="C175" s="86" t="s">
        <v>73</v>
      </c>
      <c r="D175" s="86" t="s">
        <v>148</v>
      </c>
      <c r="E175" s="84" t="s">
        <v>102</v>
      </c>
      <c r="F175" s="191">
        <f>'вед '!G166</f>
        <v>40000</v>
      </c>
    </row>
    <row r="176" spans="1:6" ht="12.75">
      <c r="A176" s="107" t="s">
        <v>9</v>
      </c>
      <c r="B176" s="93" t="s">
        <v>89</v>
      </c>
      <c r="C176" s="120"/>
      <c r="D176" s="120"/>
      <c r="E176" s="120"/>
      <c r="F176" s="190">
        <f>F177</f>
        <v>310000</v>
      </c>
    </row>
    <row r="177" spans="1:6" ht="12.75">
      <c r="A177" s="121" t="s">
        <v>10</v>
      </c>
      <c r="B177" s="122" t="s">
        <v>89</v>
      </c>
      <c r="C177" s="123" t="s">
        <v>67</v>
      </c>
      <c r="D177" s="123"/>
      <c r="E177" s="123"/>
      <c r="F177" s="186">
        <f>F178</f>
        <v>310000</v>
      </c>
    </row>
    <row r="178" spans="1:6" ht="12.75">
      <c r="A178" s="124" t="s">
        <v>112</v>
      </c>
      <c r="B178" s="83" t="s">
        <v>89</v>
      </c>
      <c r="C178" s="125" t="s">
        <v>67</v>
      </c>
      <c r="D178" s="125" t="s">
        <v>113</v>
      </c>
      <c r="E178" s="125"/>
      <c r="F178" s="189">
        <f>F179</f>
        <v>310000</v>
      </c>
    </row>
    <row r="179" spans="1:6" ht="12.75">
      <c r="A179" s="124" t="s">
        <v>149</v>
      </c>
      <c r="B179" s="83" t="s">
        <v>89</v>
      </c>
      <c r="C179" s="125" t="s">
        <v>67</v>
      </c>
      <c r="D179" s="125" t="s">
        <v>150</v>
      </c>
      <c r="E179" s="125"/>
      <c r="F179" s="189">
        <f>F180</f>
        <v>310000</v>
      </c>
    </row>
    <row r="180" spans="1:6" ht="25.5">
      <c r="A180" s="64" t="s">
        <v>151</v>
      </c>
      <c r="B180" s="83" t="s">
        <v>89</v>
      </c>
      <c r="C180" s="125" t="s">
        <v>67</v>
      </c>
      <c r="D180" s="125" t="s">
        <v>150</v>
      </c>
      <c r="E180" s="125" t="s">
        <v>152</v>
      </c>
      <c r="F180" s="189">
        <f>F181</f>
        <v>310000</v>
      </c>
    </row>
    <row r="181" spans="1:6" ht="38.25">
      <c r="A181" s="124" t="s">
        <v>100</v>
      </c>
      <c r="B181" s="83" t="s">
        <v>89</v>
      </c>
      <c r="C181" s="125" t="s">
        <v>67</v>
      </c>
      <c r="D181" s="125" t="s">
        <v>150</v>
      </c>
      <c r="E181" s="125" t="s">
        <v>99</v>
      </c>
      <c r="F181" s="189">
        <f>'вед '!G172</f>
        <v>310000</v>
      </c>
    </row>
    <row r="182" spans="1:6" ht="12.75">
      <c r="A182" s="92" t="s">
        <v>11</v>
      </c>
      <c r="B182" s="93" t="s">
        <v>77</v>
      </c>
      <c r="C182" s="93"/>
      <c r="D182" s="93"/>
      <c r="E182" s="93"/>
      <c r="F182" s="190">
        <f>F183+F199</f>
        <v>17209583</v>
      </c>
    </row>
    <row r="183" spans="1:6" ht="12.75">
      <c r="A183" s="104" t="s">
        <v>12</v>
      </c>
      <c r="B183" s="95" t="s">
        <v>77</v>
      </c>
      <c r="C183" s="126" t="s">
        <v>67</v>
      </c>
      <c r="D183" s="126"/>
      <c r="E183" s="126"/>
      <c r="F183" s="188">
        <f>F184</f>
        <v>16429583</v>
      </c>
    </row>
    <row r="184" spans="1:6" ht="25.5">
      <c r="A184" s="127" t="s">
        <v>97</v>
      </c>
      <c r="B184" s="114" t="s">
        <v>77</v>
      </c>
      <c r="C184" s="128" t="s">
        <v>67</v>
      </c>
      <c r="D184" s="128" t="s">
        <v>153</v>
      </c>
      <c r="E184" s="128"/>
      <c r="F184" s="196">
        <f>F185</f>
        <v>16429583</v>
      </c>
    </row>
    <row r="185" spans="1:6" ht="25.5">
      <c r="A185" s="124" t="s">
        <v>154</v>
      </c>
      <c r="B185" s="83" t="s">
        <v>77</v>
      </c>
      <c r="C185" s="125" t="s">
        <v>67</v>
      </c>
      <c r="D185" s="125" t="s">
        <v>155</v>
      </c>
      <c r="E185" s="125"/>
      <c r="F185" s="189">
        <f>F186</f>
        <v>16429583</v>
      </c>
    </row>
    <row r="186" spans="1:6" ht="25.5">
      <c r="A186" s="81" t="s">
        <v>139</v>
      </c>
      <c r="B186" s="83" t="s">
        <v>77</v>
      </c>
      <c r="C186" s="125" t="s">
        <v>67</v>
      </c>
      <c r="D186" s="125" t="s">
        <v>156</v>
      </c>
      <c r="E186" s="125"/>
      <c r="F186" s="189">
        <f>F187</f>
        <v>16429583</v>
      </c>
    </row>
    <row r="187" spans="1:6" ht="12.75">
      <c r="A187" s="81" t="s">
        <v>157</v>
      </c>
      <c r="B187" s="83" t="s">
        <v>77</v>
      </c>
      <c r="C187" s="125" t="s">
        <v>67</v>
      </c>
      <c r="D187" s="125" t="s">
        <v>158</v>
      </c>
      <c r="E187" s="125"/>
      <c r="F187" s="189">
        <f>F188+F192+F195</f>
        <v>16429583</v>
      </c>
    </row>
    <row r="188" spans="1:6" ht="25.5">
      <c r="A188" s="64" t="s">
        <v>24</v>
      </c>
      <c r="B188" s="83" t="s">
        <v>77</v>
      </c>
      <c r="C188" s="125" t="s">
        <v>67</v>
      </c>
      <c r="D188" s="125" t="s">
        <v>158</v>
      </c>
      <c r="E188" s="125" t="s">
        <v>25</v>
      </c>
      <c r="F188" s="189">
        <f>F189+F190+F191</f>
        <v>13353883</v>
      </c>
    </row>
    <row r="189" spans="1:6" ht="12.75">
      <c r="A189" s="81" t="s">
        <v>214</v>
      </c>
      <c r="B189" s="83" t="s">
        <v>77</v>
      </c>
      <c r="C189" s="125" t="s">
        <v>67</v>
      </c>
      <c r="D189" s="125" t="s">
        <v>158</v>
      </c>
      <c r="E189" s="83" t="s">
        <v>54</v>
      </c>
      <c r="F189" s="184">
        <f>'вед '!G180</f>
        <v>10222983</v>
      </c>
    </row>
    <row r="190" spans="1:6" ht="25.5">
      <c r="A190" s="81" t="s">
        <v>216</v>
      </c>
      <c r="B190" s="83" t="s">
        <v>77</v>
      </c>
      <c r="C190" s="125" t="s">
        <v>67</v>
      </c>
      <c r="D190" s="125" t="s">
        <v>158</v>
      </c>
      <c r="E190" s="83" t="s">
        <v>55</v>
      </c>
      <c r="F190" s="184">
        <f>'вед '!G181</f>
        <v>600</v>
      </c>
    </row>
    <row r="191" spans="1:6" ht="51">
      <c r="A191" s="81" t="s">
        <v>215</v>
      </c>
      <c r="B191" s="83" t="s">
        <v>77</v>
      </c>
      <c r="C191" s="125" t="s">
        <v>67</v>
      </c>
      <c r="D191" s="125" t="s">
        <v>158</v>
      </c>
      <c r="E191" s="83" t="s">
        <v>188</v>
      </c>
      <c r="F191" s="184">
        <f>'вед '!G182</f>
        <v>3130300</v>
      </c>
    </row>
    <row r="192" spans="1:6" ht="38.25">
      <c r="A192" s="64" t="s">
        <v>19</v>
      </c>
      <c r="B192" s="83" t="s">
        <v>77</v>
      </c>
      <c r="C192" s="125" t="s">
        <v>67</v>
      </c>
      <c r="D192" s="125" t="s">
        <v>158</v>
      </c>
      <c r="E192" s="83" t="s">
        <v>20</v>
      </c>
      <c r="F192" s="184">
        <f>'вед '!G183</f>
        <v>2955700</v>
      </c>
    </row>
    <row r="193" spans="1:6" ht="25.5">
      <c r="A193" s="64" t="s">
        <v>39</v>
      </c>
      <c r="B193" s="83" t="s">
        <v>77</v>
      </c>
      <c r="C193" s="125" t="s">
        <v>67</v>
      </c>
      <c r="D193" s="125" t="s">
        <v>158</v>
      </c>
      <c r="E193" s="83" t="s">
        <v>38</v>
      </c>
      <c r="F193" s="184">
        <f>'вед '!G184</f>
        <v>15000</v>
      </c>
    </row>
    <row r="194" spans="1:6" ht="38.25">
      <c r="A194" s="64" t="s">
        <v>178</v>
      </c>
      <c r="B194" s="83" t="s">
        <v>77</v>
      </c>
      <c r="C194" s="125" t="s">
        <v>67</v>
      </c>
      <c r="D194" s="125" t="s">
        <v>158</v>
      </c>
      <c r="E194" s="83" t="s">
        <v>33</v>
      </c>
      <c r="F194" s="184">
        <f>'вед '!G185</f>
        <v>2940700</v>
      </c>
    </row>
    <row r="195" spans="1:6" ht="12.75">
      <c r="A195" s="64" t="s">
        <v>21</v>
      </c>
      <c r="B195" s="83" t="s">
        <v>77</v>
      </c>
      <c r="C195" s="125" t="s">
        <v>67</v>
      </c>
      <c r="D195" s="125" t="s">
        <v>158</v>
      </c>
      <c r="E195" s="84" t="s">
        <v>22</v>
      </c>
      <c r="F195" s="184">
        <f>'вед '!G186</f>
        <v>120000</v>
      </c>
    </row>
    <row r="196" spans="1:6" ht="25.5">
      <c r="A196" s="64" t="s">
        <v>37</v>
      </c>
      <c r="B196" s="83" t="s">
        <v>77</v>
      </c>
      <c r="C196" s="125" t="s">
        <v>67</v>
      </c>
      <c r="D196" s="125" t="s">
        <v>158</v>
      </c>
      <c r="E196" s="84" t="s">
        <v>35</v>
      </c>
      <c r="F196" s="184">
        <f>'вед '!G187</f>
        <v>60000</v>
      </c>
    </row>
    <row r="197" spans="1:6" ht="12.75">
      <c r="A197" s="64" t="s">
        <v>212</v>
      </c>
      <c r="B197" s="83" t="s">
        <v>77</v>
      </c>
      <c r="C197" s="125" t="s">
        <v>67</v>
      </c>
      <c r="D197" s="125" t="s">
        <v>158</v>
      </c>
      <c r="E197" s="84" t="s">
        <v>36</v>
      </c>
      <c r="F197" s="184">
        <f>'вед '!G188</f>
        <v>10000</v>
      </c>
    </row>
    <row r="198" spans="1:6" ht="12.75">
      <c r="A198" s="64" t="s">
        <v>103</v>
      </c>
      <c r="B198" s="83" t="s">
        <v>77</v>
      </c>
      <c r="C198" s="125" t="s">
        <v>67</v>
      </c>
      <c r="D198" s="125" t="s">
        <v>158</v>
      </c>
      <c r="E198" s="84" t="s">
        <v>102</v>
      </c>
      <c r="F198" s="184">
        <f>'вед '!G189</f>
        <v>50000</v>
      </c>
    </row>
    <row r="199" spans="1:6" ht="12.75">
      <c r="A199" s="129" t="s">
        <v>13</v>
      </c>
      <c r="B199" s="122" t="s">
        <v>77</v>
      </c>
      <c r="C199" s="123" t="s">
        <v>69</v>
      </c>
      <c r="D199" s="130"/>
      <c r="E199" s="130"/>
      <c r="F199" s="198">
        <f aca="true" t="shared" si="0" ref="F199:F204">F200</f>
        <v>780000</v>
      </c>
    </row>
    <row r="200" spans="1:6" ht="25.5">
      <c r="A200" s="127" t="s">
        <v>97</v>
      </c>
      <c r="B200" s="83" t="s">
        <v>77</v>
      </c>
      <c r="C200" s="125" t="s">
        <v>69</v>
      </c>
      <c r="D200" s="125" t="s">
        <v>153</v>
      </c>
      <c r="E200" s="125"/>
      <c r="F200" s="189">
        <f t="shared" si="0"/>
        <v>780000</v>
      </c>
    </row>
    <row r="201" spans="1:6" ht="25.5">
      <c r="A201" s="124" t="s">
        <v>159</v>
      </c>
      <c r="B201" s="83" t="s">
        <v>77</v>
      </c>
      <c r="C201" s="125" t="s">
        <v>69</v>
      </c>
      <c r="D201" s="125" t="s">
        <v>160</v>
      </c>
      <c r="E201" s="125"/>
      <c r="F201" s="189">
        <f t="shared" si="0"/>
        <v>780000</v>
      </c>
    </row>
    <row r="202" spans="1:6" ht="25.5">
      <c r="A202" s="81" t="s">
        <v>139</v>
      </c>
      <c r="B202" s="83" t="s">
        <v>77</v>
      </c>
      <c r="C202" s="125" t="s">
        <v>69</v>
      </c>
      <c r="D202" s="125" t="s">
        <v>161</v>
      </c>
      <c r="E202" s="125"/>
      <c r="F202" s="189">
        <f t="shared" si="0"/>
        <v>780000</v>
      </c>
    </row>
    <row r="203" spans="1:6" ht="25.5">
      <c r="A203" s="81" t="s">
        <v>162</v>
      </c>
      <c r="B203" s="83" t="s">
        <v>77</v>
      </c>
      <c r="C203" s="125" t="s">
        <v>69</v>
      </c>
      <c r="D203" s="125" t="s">
        <v>163</v>
      </c>
      <c r="E203" s="125"/>
      <c r="F203" s="189">
        <f t="shared" si="0"/>
        <v>780000</v>
      </c>
    </row>
    <row r="204" spans="1:6" ht="38.25">
      <c r="A204" s="64" t="s">
        <v>19</v>
      </c>
      <c r="B204" s="83" t="s">
        <v>77</v>
      </c>
      <c r="C204" s="125" t="s">
        <v>69</v>
      </c>
      <c r="D204" s="125" t="s">
        <v>163</v>
      </c>
      <c r="E204" s="125" t="s">
        <v>20</v>
      </c>
      <c r="F204" s="189">
        <f t="shared" si="0"/>
        <v>780000</v>
      </c>
    </row>
    <row r="205" spans="1:6" ht="38.25">
      <c r="A205" s="64" t="s">
        <v>178</v>
      </c>
      <c r="B205" s="83" t="s">
        <v>77</v>
      </c>
      <c r="C205" s="125" t="s">
        <v>69</v>
      </c>
      <c r="D205" s="125" t="s">
        <v>163</v>
      </c>
      <c r="E205" s="83" t="s">
        <v>33</v>
      </c>
      <c r="F205" s="189">
        <f>'вед '!G196</f>
        <v>780000</v>
      </c>
    </row>
    <row r="206" spans="1:6" ht="12.75">
      <c r="A206" s="131" t="s">
        <v>14</v>
      </c>
      <c r="B206" s="132" t="s">
        <v>92</v>
      </c>
      <c r="C206" s="132"/>
      <c r="D206" s="132"/>
      <c r="E206" s="132"/>
      <c r="F206" s="199">
        <f>F207</f>
        <v>3616900</v>
      </c>
    </row>
    <row r="207" spans="1:6" ht="12.75">
      <c r="A207" s="129" t="s">
        <v>217</v>
      </c>
      <c r="B207" s="130" t="s">
        <v>92</v>
      </c>
      <c r="C207" s="130" t="s">
        <v>69</v>
      </c>
      <c r="D207" s="130"/>
      <c r="E207" s="130"/>
      <c r="F207" s="198">
        <f>F208</f>
        <v>3616900</v>
      </c>
    </row>
    <row r="208" spans="1:6" ht="25.5">
      <c r="A208" s="76" t="s">
        <v>98</v>
      </c>
      <c r="B208" s="84" t="s">
        <v>92</v>
      </c>
      <c r="C208" s="84" t="s">
        <v>69</v>
      </c>
      <c r="D208" s="86" t="s">
        <v>164</v>
      </c>
      <c r="E208" s="86"/>
      <c r="F208" s="172">
        <f>F209</f>
        <v>3616900</v>
      </c>
    </row>
    <row r="209" spans="1:6" ht="25.5">
      <c r="A209" s="76" t="s">
        <v>165</v>
      </c>
      <c r="B209" s="84" t="s">
        <v>92</v>
      </c>
      <c r="C209" s="84" t="s">
        <v>69</v>
      </c>
      <c r="D209" s="86" t="s">
        <v>166</v>
      </c>
      <c r="E209" s="86"/>
      <c r="F209" s="172">
        <f>F210</f>
        <v>3616900</v>
      </c>
    </row>
    <row r="210" spans="1:6" ht="25.5">
      <c r="A210" s="81" t="s">
        <v>139</v>
      </c>
      <c r="B210" s="84" t="s">
        <v>92</v>
      </c>
      <c r="C210" s="84" t="s">
        <v>69</v>
      </c>
      <c r="D210" s="86" t="s">
        <v>167</v>
      </c>
      <c r="E210" s="86"/>
      <c r="F210" s="172">
        <f>F211</f>
        <v>3616900</v>
      </c>
    </row>
    <row r="211" spans="1:6" ht="12.75">
      <c r="A211" s="76" t="s">
        <v>168</v>
      </c>
      <c r="B211" s="84" t="s">
        <v>92</v>
      </c>
      <c r="C211" s="84" t="s">
        <v>69</v>
      </c>
      <c r="D211" s="86" t="s">
        <v>169</v>
      </c>
      <c r="E211" s="86"/>
      <c r="F211" s="172">
        <f>F212+F216+F219</f>
        <v>3616900</v>
      </c>
    </row>
    <row r="212" spans="1:6" ht="25.5">
      <c r="A212" s="64" t="s">
        <v>24</v>
      </c>
      <c r="B212" s="84" t="s">
        <v>92</v>
      </c>
      <c r="C212" s="84" t="s">
        <v>69</v>
      </c>
      <c r="D212" s="86" t="s">
        <v>169</v>
      </c>
      <c r="E212" s="86" t="s">
        <v>25</v>
      </c>
      <c r="F212" s="172">
        <f>F213+F214+F215</f>
        <v>2493600</v>
      </c>
    </row>
    <row r="213" spans="1:6" ht="12.75">
      <c r="A213" s="81" t="s">
        <v>214</v>
      </c>
      <c r="B213" s="84" t="s">
        <v>92</v>
      </c>
      <c r="C213" s="84" t="s">
        <v>69</v>
      </c>
      <c r="D213" s="86" t="s">
        <v>169</v>
      </c>
      <c r="E213" s="83" t="s">
        <v>54</v>
      </c>
      <c r="F213" s="172">
        <f>'вед '!G204</f>
        <v>1762700</v>
      </c>
    </row>
    <row r="214" spans="1:6" ht="25.5">
      <c r="A214" s="81" t="s">
        <v>216</v>
      </c>
      <c r="B214" s="84" t="s">
        <v>92</v>
      </c>
      <c r="C214" s="84" t="s">
        <v>69</v>
      </c>
      <c r="D214" s="86" t="s">
        <v>169</v>
      </c>
      <c r="E214" s="83" t="s">
        <v>55</v>
      </c>
      <c r="F214" s="172">
        <f>'вед '!G205</f>
        <v>5000</v>
      </c>
    </row>
    <row r="215" spans="1:6" ht="51">
      <c r="A215" s="81" t="s">
        <v>215</v>
      </c>
      <c r="B215" s="84" t="s">
        <v>92</v>
      </c>
      <c r="C215" s="84" t="s">
        <v>69</v>
      </c>
      <c r="D215" s="86" t="s">
        <v>169</v>
      </c>
      <c r="E215" s="83" t="s">
        <v>188</v>
      </c>
      <c r="F215" s="172">
        <f>'вед '!G206</f>
        <v>725900</v>
      </c>
    </row>
    <row r="216" spans="1:6" ht="38.25">
      <c r="A216" s="64" t="s">
        <v>19</v>
      </c>
      <c r="B216" s="84" t="s">
        <v>92</v>
      </c>
      <c r="C216" s="84" t="s">
        <v>69</v>
      </c>
      <c r="D216" s="86" t="s">
        <v>169</v>
      </c>
      <c r="E216" s="83" t="s">
        <v>20</v>
      </c>
      <c r="F216" s="172">
        <f>'вед '!G207</f>
        <v>1029300</v>
      </c>
    </row>
    <row r="217" spans="1:6" ht="25.5">
      <c r="A217" s="64" t="s">
        <v>39</v>
      </c>
      <c r="B217" s="84" t="s">
        <v>92</v>
      </c>
      <c r="C217" s="84" t="s">
        <v>69</v>
      </c>
      <c r="D217" s="86" t="s">
        <v>169</v>
      </c>
      <c r="E217" s="83" t="s">
        <v>38</v>
      </c>
      <c r="F217" s="172">
        <f>'вед '!G208</f>
        <v>597000</v>
      </c>
    </row>
    <row r="218" spans="1:6" ht="38.25">
      <c r="A218" s="64" t="s">
        <v>178</v>
      </c>
      <c r="B218" s="84" t="s">
        <v>92</v>
      </c>
      <c r="C218" s="84" t="s">
        <v>69</v>
      </c>
      <c r="D218" s="86" t="s">
        <v>169</v>
      </c>
      <c r="E218" s="83" t="s">
        <v>33</v>
      </c>
      <c r="F218" s="172">
        <f>'вед '!G209</f>
        <v>432300</v>
      </c>
    </row>
    <row r="219" spans="1:6" ht="12.75">
      <c r="A219" s="64" t="s">
        <v>21</v>
      </c>
      <c r="B219" s="84" t="s">
        <v>92</v>
      </c>
      <c r="C219" s="84" t="s">
        <v>69</v>
      </c>
      <c r="D219" s="86" t="s">
        <v>169</v>
      </c>
      <c r="E219" s="83" t="s">
        <v>22</v>
      </c>
      <c r="F219" s="172">
        <f>'вед '!G210</f>
        <v>94000</v>
      </c>
    </row>
    <row r="220" spans="1:6" ht="25.5">
      <c r="A220" s="64" t="s">
        <v>37</v>
      </c>
      <c r="B220" s="84" t="s">
        <v>92</v>
      </c>
      <c r="C220" s="84" t="s">
        <v>69</v>
      </c>
      <c r="D220" s="86" t="s">
        <v>169</v>
      </c>
      <c r="E220" s="84" t="s">
        <v>35</v>
      </c>
      <c r="F220" s="172">
        <f>'вед '!G211</f>
        <v>40000</v>
      </c>
    </row>
    <row r="221" spans="1:6" ht="12.75">
      <c r="A221" s="64" t="s">
        <v>212</v>
      </c>
      <c r="B221" s="84" t="s">
        <v>92</v>
      </c>
      <c r="C221" s="84" t="s">
        <v>69</v>
      </c>
      <c r="D221" s="86" t="s">
        <v>169</v>
      </c>
      <c r="E221" s="84" t="s">
        <v>36</v>
      </c>
      <c r="F221" s="172">
        <f>'вед '!G212</f>
        <v>4000</v>
      </c>
    </row>
    <row r="222" spans="1:6" ht="12.75">
      <c r="A222" s="87" t="s">
        <v>103</v>
      </c>
      <c r="B222" s="84" t="s">
        <v>92</v>
      </c>
      <c r="C222" s="84" t="s">
        <v>69</v>
      </c>
      <c r="D222" s="86" t="s">
        <v>169</v>
      </c>
      <c r="E222" s="84" t="s">
        <v>102</v>
      </c>
      <c r="F222" s="172">
        <f>'вед '!G213</f>
        <v>50000</v>
      </c>
    </row>
    <row r="223" ht="12.75">
      <c r="E223" s="2"/>
    </row>
    <row r="224" spans="1:5" ht="12.75">
      <c r="A224" s="227"/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</sheetData>
  <sheetProtection selectLockedCells="1" selectUnlockedCells="1"/>
  <mergeCells count="9">
    <mergeCell ref="A10:F10"/>
    <mergeCell ref="A4:F4"/>
    <mergeCell ref="A2:F2"/>
    <mergeCell ref="A1:F1"/>
    <mergeCell ref="A3:F3"/>
    <mergeCell ref="A8:F8"/>
    <mergeCell ref="A5:F5"/>
    <mergeCell ref="A6:F6"/>
    <mergeCell ref="A7:F7"/>
  </mergeCells>
  <printOptions/>
  <pageMargins left="0.3937007874015748" right="0.2362204724409449" top="0.31496062992125984" bottom="0.1968503937007874" header="0.5118110236220472" footer="0.5118110236220472"/>
  <pageSetup horizontalDpi="300" verticalDpi="300" orientation="portrait" paperSize="9" scale="91" r:id="rId1"/>
  <rowBreaks count="1" manualBreakCount="1">
    <brk id="1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76"/>
  <sheetViews>
    <sheetView view="pageBreakPreview" zoomScaleSheetLayoutView="100" zoomScalePageLayoutView="0" workbookViewId="0" topLeftCell="A57">
      <selection activeCell="B10" sqref="B10:G10"/>
    </sheetView>
  </sheetViews>
  <sheetFormatPr defaultColWidth="8.875" defaultRowHeight="12.75"/>
  <cols>
    <col min="1" max="1" width="5.875" style="16" customWidth="1"/>
    <col min="2" max="2" width="57.625" style="17" customWidth="1"/>
    <col min="3" max="3" width="14.625" style="19" customWidth="1"/>
    <col min="4" max="4" width="8.375" style="19" customWidth="1"/>
    <col min="5" max="5" width="16.875" style="20" customWidth="1"/>
    <col min="6" max="6" width="3.125" style="21" hidden="1" customWidth="1"/>
    <col min="7" max="7" width="14.00390625" style="21" hidden="1" customWidth="1"/>
    <col min="8" max="8" width="3.375" style="21" customWidth="1"/>
    <col min="9" max="16384" width="8.875" style="21" customWidth="1"/>
  </cols>
  <sheetData>
    <row r="1" ht="12" hidden="1">
      <c r="C1" s="18" t="s">
        <v>44</v>
      </c>
    </row>
    <row r="2" ht="12" hidden="1">
      <c r="C2" s="18" t="s">
        <v>45</v>
      </c>
    </row>
    <row r="3" ht="12" hidden="1">
      <c r="C3" s="18" t="s">
        <v>46</v>
      </c>
    </row>
    <row r="4" ht="12" hidden="1">
      <c r="C4" s="18" t="s">
        <v>47</v>
      </c>
    </row>
    <row r="5" ht="6.75" customHeight="1" hidden="1"/>
    <row r="6" spans="1:5" ht="14.25" customHeight="1">
      <c r="A6" s="306" t="s">
        <v>15</v>
      </c>
      <c r="B6" s="306"/>
      <c r="C6" s="306"/>
      <c r="D6" s="306"/>
      <c r="E6" s="306"/>
    </row>
    <row r="7" spans="1:5" ht="12.75" customHeight="1">
      <c r="A7" s="306" t="s">
        <v>364</v>
      </c>
      <c r="B7" s="306"/>
      <c r="C7" s="306"/>
      <c r="D7" s="306"/>
      <c r="E7" s="306"/>
    </row>
    <row r="8" spans="1:5" ht="12.75" customHeight="1">
      <c r="A8" s="306" t="s">
        <v>363</v>
      </c>
      <c r="B8" s="306"/>
      <c r="C8" s="306"/>
      <c r="D8" s="306"/>
      <c r="E8" s="306"/>
    </row>
    <row r="9" spans="3:5" ht="12">
      <c r="C9" s="309" t="s">
        <v>52</v>
      </c>
      <c r="D9" s="309"/>
      <c r="E9" s="309"/>
    </row>
    <row r="10" spans="2:7" ht="12.75" customHeight="1">
      <c r="B10" s="310" t="s">
        <v>243</v>
      </c>
      <c r="C10" s="310"/>
      <c r="D10" s="310"/>
      <c r="E10" s="310"/>
      <c r="F10" s="310"/>
      <c r="G10" s="310"/>
    </row>
    <row r="11" spans="3:5" ht="12">
      <c r="C11" s="309" t="s">
        <v>237</v>
      </c>
      <c r="D11" s="309"/>
      <c r="E11" s="309"/>
    </row>
    <row r="12" spans="1:5" ht="12" customHeight="1">
      <c r="A12" s="22"/>
      <c r="B12" s="307" t="s">
        <v>240</v>
      </c>
      <c r="C12" s="307"/>
      <c r="D12" s="307"/>
      <c r="E12" s="307"/>
    </row>
    <row r="13" spans="1:5" ht="12" customHeight="1">
      <c r="A13" s="307" t="s">
        <v>239</v>
      </c>
      <c r="B13" s="307"/>
      <c r="C13" s="307"/>
      <c r="D13" s="307"/>
      <c r="E13" s="307"/>
    </row>
    <row r="14" spans="1:6" ht="18" customHeight="1">
      <c r="A14" s="22"/>
      <c r="B14" s="23"/>
      <c r="C14" s="24"/>
      <c r="D14" s="24"/>
      <c r="E14" s="25"/>
      <c r="F14" s="26"/>
    </row>
    <row r="15" spans="1:6" ht="12">
      <c r="A15" s="308" t="s">
        <v>176</v>
      </c>
      <c r="B15" s="308"/>
      <c r="C15" s="308"/>
      <c r="D15" s="308"/>
      <c r="E15" s="308"/>
      <c r="F15" s="27"/>
    </row>
    <row r="16" spans="1:6" ht="12">
      <c r="A16" s="28"/>
      <c r="B16" s="29"/>
      <c r="C16" s="30"/>
      <c r="D16" s="30"/>
      <c r="E16" s="31"/>
      <c r="F16" s="32"/>
    </row>
    <row r="17" spans="1:7" ht="24">
      <c r="A17" s="33" t="s">
        <v>48</v>
      </c>
      <c r="B17" s="33" t="s">
        <v>49</v>
      </c>
      <c r="C17" s="34" t="s">
        <v>202</v>
      </c>
      <c r="D17" s="34" t="s">
        <v>203</v>
      </c>
      <c r="E17" s="35" t="s">
        <v>197</v>
      </c>
      <c r="F17" s="36"/>
      <c r="G17" s="37"/>
    </row>
    <row r="18" spans="1:7" ht="12">
      <c r="A18" s="38">
        <v>1</v>
      </c>
      <c r="B18" s="38">
        <v>2</v>
      </c>
      <c r="C18" s="39" t="s">
        <v>50</v>
      </c>
      <c r="D18" s="39" t="s">
        <v>51</v>
      </c>
      <c r="E18" s="40">
        <v>5</v>
      </c>
      <c r="F18" s="36"/>
      <c r="G18" s="37"/>
    </row>
    <row r="19" spans="1:8" s="46" customFormat="1" ht="18" customHeight="1">
      <c r="A19" s="38"/>
      <c r="B19" s="41" t="s">
        <v>57</v>
      </c>
      <c r="C19" s="42"/>
      <c r="D19" s="42"/>
      <c r="E19" s="209">
        <f>E21+E26+E46+E62+E77+E87+E89</f>
        <v>84909248.22</v>
      </c>
      <c r="F19" s="43"/>
      <c r="G19" s="44"/>
      <c r="H19" s="45"/>
    </row>
    <row r="20" spans="1:6" s="50" customFormat="1" ht="12">
      <c r="A20" s="47"/>
      <c r="B20" s="48"/>
      <c r="C20" s="47"/>
      <c r="D20" s="47"/>
      <c r="E20" s="210"/>
      <c r="F20" s="49"/>
    </row>
    <row r="21" spans="1:6" s="46" customFormat="1" ht="36">
      <c r="A21" s="51">
        <v>1</v>
      </c>
      <c r="B21" s="52" t="s">
        <v>183</v>
      </c>
      <c r="C21" s="53" t="s">
        <v>119</v>
      </c>
      <c r="D21" s="53"/>
      <c r="E21" s="211">
        <f>E22</f>
        <v>190711.66000000003</v>
      </c>
      <c r="F21" s="43"/>
    </row>
    <row r="22" spans="1:6" s="46" customFormat="1" ht="25.5">
      <c r="A22" s="51"/>
      <c r="B22" s="9" t="s">
        <v>120</v>
      </c>
      <c r="C22" s="62" t="s">
        <v>121</v>
      </c>
      <c r="D22" s="62"/>
      <c r="E22" s="212">
        <f>E23</f>
        <v>190711.66000000003</v>
      </c>
      <c r="F22" s="43"/>
    </row>
    <row r="23" spans="1:6" s="46" customFormat="1" ht="12.75">
      <c r="A23" s="51"/>
      <c r="B23" s="165" t="s">
        <v>122</v>
      </c>
      <c r="C23" s="62" t="s">
        <v>123</v>
      </c>
      <c r="D23" s="62"/>
      <c r="E23" s="212">
        <f>E24</f>
        <v>190711.66000000003</v>
      </c>
      <c r="F23" s="43"/>
    </row>
    <row r="24" spans="1:6" s="46" customFormat="1" ht="25.5">
      <c r="A24" s="51"/>
      <c r="B24" s="165" t="s">
        <v>199</v>
      </c>
      <c r="C24" s="62" t="s">
        <v>123</v>
      </c>
      <c r="D24" s="62" t="s">
        <v>198</v>
      </c>
      <c r="E24" s="212">
        <f>E25</f>
        <v>190711.66000000003</v>
      </c>
      <c r="F24" s="43"/>
    </row>
    <row r="25" spans="1:6" s="61" customFormat="1" ht="25.5">
      <c r="A25" s="51"/>
      <c r="B25" s="64" t="s">
        <v>19</v>
      </c>
      <c r="C25" s="62" t="s">
        <v>123</v>
      </c>
      <c r="D25" s="62" t="s">
        <v>20</v>
      </c>
      <c r="E25" s="212">
        <f>функц!F92</f>
        <v>190711.66000000003</v>
      </c>
      <c r="F25" s="60"/>
    </row>
    <row r="26" spans="1:6" s="61" customFormat="1" ht="12.75">
      <c r="A26" s="51">
        <v>2</v>
      </c>
      <c r="B26" s="71" t="s">
        <v>96</v>
      </c>
      <c r="C26" s="77" t="s">
        <v>135</v>
      </c>
      <c r="D26" s="65"/>
      <c r="E26" s="213">
        <f>E27+E36+E41</f>
        <v>39027637.39</v>
      </c>
      <c r="F26" s="60"/>
    </row>
    <row r="27" spans="1:6" s="70" customFormat="1" ht="15" customHeight="1">
      <c r="A27" s="68"/>
      <c r="B27" s="64" t="s">
        <v>187</v>
      </c>
      <c r="C27" s="78" t="s">
        <v>138</v>
      </c>
      <c r="D27" s="62"/>
      <c r="E27" s="214">
        <f>E28</f>
        <v>37427637.39</v>
      </c>
      <c r="F27" s="69"/>
    </row>
    <row r="28" spans="1:6" s="70" customFormat="1" ht="25.5">
      <c r="A28" s="68"/>
      <c r="B28" s="8" t="s">
        <v>139</v>
      </c>
      <c r="C28" s="78" t="s">
        <v>141</v>
      </c>
      <c r="D28" s="62"/>
      <c r="E28" s="214">
        <f>E29</f>
        <v>37427637.39</v>
      </c>
      <c r="F28" s="69"/>
    </row>
    <row r="29" spans="1:6" s="70" customFormat="1" ht="12.75">
      <c r="A29" s="68"/>
      <c r="B29" s="81" t="s">
        <v>220</v>
      </c>
      <c r="C29" s="78" t="s">
        <v>142</v>
      </c>
      <c r="D29" s="62"/>
      <c r="E29" s="214">
        <f>E30+E32+E34</f>
        <v>37427637.39</v>
      </c>
      <c r="F29" s="69"/>
    </row>
    <row r="30" spans="1:6" s="70" customFormat="1" ht="51">
      <c r="A30" s="68"/>
      <c r="B30" s="8" t="s">
        <v>140</v>
      </c>
      <c r="C30" s="78" t="s">
        <v>142</v>
      </c>
      <c r="D30" s="62" t="s">
        <v>200</v>
      </c>
      <c r="E30" s="214">
        <f>E31</f>
        <v>29268837.64</v>
      </c>
      <c r="F30" s="69"/>
    </row>
    <row r="31" spans="1:6" s="70" customFormat="1" ht="12.75">
      <c r="A31" s="68"/>
      <c r="B31" s="85" t="s">
        <v>24</v>
      </c>
      <c r="C31" s="78" t="s">
        <v>142</v>
      </c>
      <c r="D31" s="62" t="s">
        <v>25</v>
      </c>
      <c r="E31" s="214">
        <f>функц!F142</f>
        <v>29268837.64</v>
      </c>
      <c r="F31" s="69"/>
    </row>
    <row r="32" spans="1:6" s="70" customFormat="1" ht="25.5">
      <c r="A32" s="68"/>
      <c r="B32" s="173" t="s">
        <v>199</v>
      </c>
      <c r="C32" s="78" t="s">
        <v>142</v>
      </c>
      <c r="D32" s="62" t="s">
        <v>198</v>
      </c>
      <c r="E32" s="214">
        <f>E33</f>
        <v>7740249.75</v>
      </c>
      <c r="F32" s="69"/>
    </row>
    <row r="33" spans="1:6" s="70" customFormat="1" ht="25.5">
      <c r="A33" s="68"/>
      <c r="B33" s="85" t="s">
        <v>19</v>
      </c>
      <c r="C33" s="78" t="s">
        <v>142</v>
      </c>
      <c r="D33" s="62" t="s">
        <v>20</v>
      </c>
      <c r="E33" s="214">
        <f>функц!F146</f>
        <v>7740249.75</v>
      </c>
      <c r="F33" s="69"/>
    </row>
    <row r="34" spans="1:6" s="70" customFormat="1" ht="12.75">
      <c r="A34" s="68"/>
      <c r="B34" s="117" t="s">
        <v>201</v>
      </c>
      <c r="C34" s="78" t="s">
        <v>142</v>
      </c>
      <c r="D34" s="62" t="s">
        <v>28</v>
      </c>
      <c r="E34" s="214">
        <f>E35</f>
        <v>418550</v>
      </c>
      <c r="F34" s="69"/>
    </row>
    <row r="35" spans="1:6" s="70" customFormat="1" ht="12.75">
      <c r="A35" s="68"/>
      <c r="B35" s="64" t="s">
        <v>21</v>
      </c>
      <c r="C35" s="78" t="s">
        <v>142</v>
      </c>
      <c r="D35" s="62" t="s">
        <v>22</v>
      </c>
      <c r="E35" s="214">
        <f>функц!F149</f>
        <v>418550</v>
      </c>
      <c r="F35" s="69"/>
    </row>
    <row r="36" spans="1:6" s="61" customFormat="1" ht="25.5">
      <c r="A36" s="51"/>
      <c r="B36" s="72" t="s">
        <v>189</v>
      </c>
      <c r="C36" s="62" t="s">
        <v>144</v>
      </c>
      <c r="D36" s="62"/>
      <c r="E36" s="214">
        <f>E37</f>
        <v>1350000</v>
      </c>
      <c r="F36" s="60"/>
    </row>
    <row r="37" spans="1:6" s="61" customFormat="1" ht="25.5">
      <c r="A37" s="51"/>
      <c r="B37" s="79" t="s">
        <v>139</v>
      </c>
      <c r="C37" s="62" t="s">
        <v>145</v>
      </c>
      <c r="D37" s="62"/>
      <c r="E37" s="214">
        <f>E38</f>
        <v>1350000</v>
      </c>
      <c r="F37" s="60"/>
    </row>
    <row r="38" spans="1:6" s="61" customFormat="1" ht="12.75">
      <c r="A38" s="51"/>
      <c r="B38" s="80" t="s">
        <v>146</v>
      </c>
      <c r="C38" s="62" t="s">
        <v>143</v>
      </c>
      <c r="D38" s="62"/>
      <c r="E38" s="214">
        <f>E39</f>
        <v>1350000</v>
      </c>
      <c r="F38" s="60"/>
    </row>
    <row r="39" spans="1:6" s="61" customFormat="1" ht="25.5">
      <c r="A39" s="51"/>
      <c r="B39" s="165" t="s">
        <v>199</v>
      </c>
      <c r="C39" s="62" t="s">
        <v>143</v>
      </c>
      <c r="D39" s="62" t="s">
        <v>198</v>
      </c>
      <c r="E39" s="214">
        <f>E40</f>
        <v>1350000</v>
      </c>
      <c r="F39" s="60"/>
    </row>
    <row r="40" spans="1:6" s="61" customFormat="1" ht="25.5">
      <c r="A40" s="51"/>
      <c r="B40" s="64" t="s">
        <v>19</v>
      </c>
      <c r="C40" s="62" t="s">
        <v>143</v>
      </c>
      <c r="D40" s="62" t="s">
        <v>20</v>
      </c>
      <c r="E40" s="214">
        <f>функц!F156</f>
        <v>1350000</v>
      </c>
      <c r="F40" s="60"/>
    </row>
    <row r="41" spans="1:6" s="61" customFormat="1" ht="12.75">
      <c r="A41" s="51"/>
      <c r="B41" s="85" t="s">
        <v>193</v>
      </c>
      <c r="C41" s="62" t="s">
        <v>192</v>
      </c>
      <c r="D41" s="62"/>
      <c r="E41" s="214">
        <f>E42</f>
        <v>250000</v>
      </c>
      <c r="F41" s="60"/>
    </row>
    <row r="42" spans="1:6" s="61" customFormat="1" ht="25.5">
      <c r="A42" s="51"/>
      <c r="B42" s="117" t="s">
        <v>139</v>
      </c>
      <c r="C42" s="62" t="s">
        <v>195</v>
      </c>
      <c r="D42" s="62"/>
      <c r="E42" s="214">
        <f>E43</f>
        <v>250000</v>
      </c>
      <c r="F42" s="60"/>
    </row>
    <row r="43" spans="1:6" s="61" customFormat="1" ht="25.5">
      <c r="A43" s="51"/>
      <c r="B43" s="85" t="s">
        <v>194</v>
      </c>
      <c r="C43" s="62" t="s">
        <v>196</v>
      </c>
      <c r="D43" s="62"/>
      <c r="E43" s="214">
        <f>E44</f>
        <v>250000</v>
      </c>
      <c r="F43" s="60"/>
    </row>
    <row r="44" spans="1:6" s="61" customFormat="1" ht="25.5">
      <c r="A44" s="51"/>
      <c r="B44" s="165" t="s">
        <v>199</v>
      </c>
      <c r="C44" s="62" t="s">
        <v>196</v>
      </c>
      <c r="D44" s="62" t="s">
        <v>198</v>
      </c>
      <c r="E44" s="214">
        <f>E45</f>
        <v>250000</v>
      </c>
      <c r="F44" s="60"/>
    </row>
    <row r="45" spans="1:6" s="61" customFormat="1" ht="25.5">
      <c r="A45" s="51"/>
      <c r="B45" s="64" t="s">
        <v>19</v>
      </c>
      <c r="C45" s="62" t="s">
        <v>196</v>
      </c>
      <c r="D45" s="62" t="s">
        <v>20</v>
      </c>
      <c r="E45" s="214">
        <f>функц!F161</f>
        <v>250000</v>
      </c>
      <c r="F45" s="60"/>
    </row>
    <row r="46" spans="1:6" s="61" customFormat="1" ht="38.25">
      <c r="A46" s="51">
        <v>3</v>
      </c>
      <c r="B46" s="166" t="s">
        <v>185</v>
      </c>
      <c r="C46" s="67" t="s">
        <v>126</v>
      </c>
      <c r="D46" s="65"/>
      <c r="E46" s="213">
        <f>E47+E52+E57</f>
        <v>9279416.170000002</v>
      </c>
      <c r="F46" s="60"/>
    </row>
    <row r="47" spans="1:6" s="61" customFormat="1" ht="12.75">
      <c r="A47" s="51"/>
      <c r="B47" s="66" t="s">
        <v>136</v>
      </c>
      <c r="C47" s="55" t="s">
        <v>127</v>
      </c>
      <c r="D47" s="62"/>
      <c r="E47" s="214">
        <f>E48</f>
        <v>5804971.470000001</v>
      </c>
      <c r="F47" s="60"/>
    </row>
    <row r="48" spans="1:6" s="61" customFormat="1" ht="25.5">
      <c r="A48" s="51"/>
      <c r="B48" s="75" t="s">
        <v>120</v>
      </c>
      <c r="C48" s="55" t="s">
        <v>128</v>
      </c>
      <c r="D48" s="62"/>
      <c r="E48" s="214">
        <f>E49</f>
        <v>5804971.470000001</v>
      </c>
      <c r="F48" s="60"/>
    </row>
    <row r="49" spans="1:6" s="61" customFormat="1" ht="12.75">
      <c r="A49" s="51"/>
      <c r="B49" s="75" t="s">
        <v>129</v>
      </c>
      <c r="C49" s="55" t="s">
        <v>130</v>
      </c>
      <c r="D49" s="62"/>
      <c r="E49" s="214">
        <f>E50</f>
        <v>5804971.470000001</v>
      </c>
      <c r="F49" s="60"/>
    </row>
    <row r="50" spans="1:6" ht="25.5">
      <c r="A50" s="54"/>
      <c r="B50" s="165" t="s">
        <v>199</v>
      </c>
      <c r="C50" s="55" t="s">
        <v>130</v>
      </c>
      <c r="D50" s="55" t="s">
        <v>198</v>
      </c>
      <c r="E50" s="215">
        <f>E51</f>
        <v>5804971.470000001</v>
      </c>
      <c r="F50" s="56"/>
    </row>
    <row r="51" spans="1:6" ht="25.5">
      <c r="A51" s="54"/>
      <c r="B51" s="64" t="s">
        <v>19</v>
      </c>
      <c r="C51" s="55" t="s">
        <v>130</v>
      </c>
      <c r="D51" s="55" t="s">
        <v>20</v>
      </c>
      <c r="E51" s="215">
        <f>функц!F114</f>
        <v>5804971.470000001</v>
      </c>
      <c r="F51" s="56"/>
    </row>
    <row r="52" spans="1:6" ht="12.75">
      <c r="A52" s="54"/>
      <c r="B52" s="167" t="s">
        <v>207</v>
      </c>
      <c r="C52" s="63" t="s">
        <v>131</v>
      </c>
      <c r="D52" s="63"/>
      <c r="E52" s="215">
        <f>E53</f>
        <v>479600</v>
      </c>
      <c r="F52" s="56"/>
    </row>
    <row r="53" spans="1:6" ht="25.5">
      <c r="A53" s="54"/>
      <c r="B53" s="75" t="s">
        <v>120</v>
      </c>
      <c r="C53" s="63" t="s">
        <v>132</v>
      </c>
      <c r="D53" s="63"/>
      <c r="E53" s="215">
        <f>E54</f>
        <v>479600</v>
      </c>
      <c r="F53" s="56"/>
    </row>
    <row r="54" spans="1:6" ht="12.75">
      <c r="A54" s="54"/>
      <c r="B54" s="75" t="s">
        <v>208</v>
      </c>
      <c r="C54" s="63" t="s">
        <v>133</v>
      </c>
      <c r="D54" s="63"/>
      <c r="E54" s="215">
        <f>E55</f>
        <v>479600</v>
      </c>
      <c r="F54" s="56"/>
    </row>
    <row r="55" spans="1:6" ht="25.5">
      <c r="A55" s="54"/>
      <c r="B55" s="165" t="s">
        <v>199</v>
      </c>
      <c r="C55" s="63" t="s">
        <v>133</v>
      </c>
      <c r="D55" s="58" t="s">
        <v>198</v>
      </c>
      <c r="E55" s="215">
        <f>E56</f>
        <v>479600</v>
      </c>
      <c r="F55" s="56"/>
    </row>
    <row r="56" spans="1:6" ht="25.5">
      <c r="A56" s="54"/>
      <c r="B56" s="64" t="s">
        <v>19</v>
      </c>
      <c r="C56" s="63" t="s">
        <v>133</v>
      </c>
      <c r="D56" s="58" t="s">
        <v>20</v>
      </c>
      <c r="E56" s="215">
        <f>функц!F119</f>
        <v>479600</v>
      </c>
      <c r="F56" s="56"/>
    </row>
    <row r="57" spans="1:5" ht="12.75">
      <c r="A57" s="57"/>
      <c r="B57" s="66" t="s">
        <v>137</v>
      </c>
      <c r="C57" s="63" t="s">
        <v>204</v>
      </c>
      <c r="D57" s="63"/>
      <c r="E57" s="216">
        <f>E58</f>
        <v>2994844.7</v>
      </c>
    </row>
    <row r="58" spans="1:5" ht="25.5">
      <c r="A58" s="57"/>
      <c r="B58" s="75" t="s">
        <v>120</v>
      </c>
      <c r="C58" s="63" t="s">
        <v>205</v>
      </c>
      <c r="D58" s="63"/>
      <c r="E58" s="216">
        <f>E59</f>
        <v>2994844.7</v>
      </c>
    </row>
    <row r="59" spans="1:5" ht="12.75">
      <c r="A59" s="57"/>
      <c r="B59" s="75" t="s">
        <v>134</v>
      </c>
      <c r="C59" s="63" t="s">
        <v>206</v>
      </c>
      <c r="D59" s="63"/>
      <c r="E59" s="216">
        <f>E60</f>
        <v>2994844.7</v>
      </c>
    </row>
    <row r="60" spans="1:5" ht="25.5">
      <c r="A60" s="57"/>
      <c r="B60" s="165" t="s">
        <v>199</v>
      </c>
      <c r="C60" s="63" t="s">
        <v>206</v>
      </c>
      <c r="D60" s="58" t="s">
        <v>198</v>
      </c>
      <c r="E60" s="216">
        <f>E61</f>
        <v>2994844.7</v>
      </c>
    </row>
    <row r="61" spans="1:5" ht="25.5">
      <c r="A61" s="57"/>
      <c r="B61" s="64" t="s">
        <v>19</v>
      </c>
      <c r="C61" s="63" t="s">
        <v>206</v>
      </c>
      <c r="D61" s="58" t="s">
        <v>20</v>
      </c>
      <c r="E61" s="216">
        <f>функц!F124</f>
        <v>2994844.7</v>
      </c>
    </row>
    <row r="62" spans="1:6" s="61" customFormat="1" ht="12.75">
      <c r="A62" s="51">
        <v>4</v>
      </c>
      <c r="B62" s="71" t="s">
        <v>97</v>
      </c>
      <c r="C62" s="77" t="s">
        <v>153</v>
      </c>
      <c r="D62" s="65"/>
      <c r="E62" s="213">
        <f>E63+E72</f>
        <v>17209583</v>
      </c>
      <c r="F62" s="60"/>
    </row>
    <row r="63" spans="1:6" s="70" customFormat="1" ht="12.75">
      <c r="A63" s="68"/>
      <c r="B63" s="64" t="s">
        <v>154</v>
      </c>
      <c r="C63" s="78" t="s">
        <v>155</v>
      </c>
      <c r="D63" s="62"/>
      <c r="E63" s="214">
        <f>E64</f>
        <v>16429583</v>
      </c>
      <c r="F63" s="69"/>
    </row>
    <row r="64" spans="1:6" s="70" customFormat="1" ht="25.5">
      <c r="A64" s="68"/>
      <c r="B64" s="8" t="s">
        <v>139</v>
      </c>
      <c r="C64" s="78" t="s">
        <v>156</v>
      </c>
      <c r="D64" s="62"/>
      <c r="E64" s="214">
        <f>E65</f>
        <v>16429583</v>
      </c>
      <c r="F64" s="69"/>
    </row>
    <row r="65" spans="1:6" s="70" customFormat="1" ht="12.75">
      <c r="A65" s="68"/>
      <c r="B65" s="74" t="s">
        <v>157</v>
      </c>
      <c r="C65" s="78" t="s">
        <v>158</v>
      </c>
      <c r="D65" s="62"/>
      <c r="E65" s="214">
        <f>E66+E68+E70</f>
        <v>16429583</v>
      </c>
      <c r="F65" s="69"/>
    </row>
    <row r="66" spans="1:6" s="70" customFormat="1" ht="51">
      <c r="A66" s="68"/>
      <c r="B66" s="8" t="s">
        <v>140</v>
      </c>
      <c r="C66" s="78" t="s">
        <v>158</v>
      </c>
      <c r="D66" s="62" t="s">
        <v>200</v>
      </c>
      <c r="E66" s="214">
        <f>E67</f>
        <v>13353883</v>
      </c>
      <c r="F66" s="69"/>
    </row>
    <row r="67" spans="1:6" s="70" customFormat="1" ht="12.75">
      <c r="A67" s="68"/>
      <c r="B67" s="85" t="s">
        <v>24</v>
      </c>
      <c r="C67" s="78" t="s">
        <v>158</v>
      </c>
      <c r="D67" s="62" t="s">
        <v>25</v>
      </c>
      <c r="E67" s="214">
        <f>функц!F188</f>
        <v>13353883</v>
      </c>
      <c r="F67" s="69"/>
    </row>
    <row r="68" spans="1:6" s="70" customFormat="1" ht="25.5">
      <c r="A68" s="68"/>
      <c r="B68" s="173" t="s">
        <v>199</v>
      </c>
      <c r="C68" s="78" t="s">
        <v>158</v>
      </c>
      <c r="D68" s="62" t="s">
        <v>198</v>
      </c>
      <c r="E68" s="214">
        <f>E69</f>
        <v>2955700</v>
      </c>
      <c r="F68" s="69"/>
    </row>
    <row r="69" spans="1:6" s="70" customFormat="1" ht="25.5">
      <c r="A69" s="68"/>
      <c r="B69" s="85" t="s">
        <v>19</v>
      </c>
      <c r="C69" s="78" t="s">
        <v>158</v>
      </c>
      <c r="D69" s="62" t="s">
        <v>20</v>
      </c>
      <c r="E69" s="214">
        <f>функц!F192</f>
        <v>2955700</v>
      </c>
      <c r="F69" s="69"/>
    </row>
    <row r="70" spans="1:6" s="70" customFormat="1" ht="12.75">
      <c r="A70" s="68"/>
      <c r="B70" s="117" t="s">
        <v>201</v>
      </c>
      <c r="C70" s="78" t="s">
        <v>158</v>
      </c>
      <c r="D70" s="62" t="s">
        <v>28</v>
      </c>
      <c r="E70" s="214">
        <f>E71</f>
        <v>120000</v>
      </c>
      <c r="F70" s="69"/>
    </row>
    <row r="71" spans="1:6" s="70" customFormat="1" ht="12.75">
      <c r="A71" s="68"/>
      <c r="B71" s="85" t="s">
        <v>21</v>
      </c>
      <c r="C71" s="78" t="s">
        <v>158</v>
      </c>
      <c r="D71" s="62" t="s">
        <v>22</v>
      </c>
      <c r="E71" s="214">
        <f>функц!F195</f>
        <v>120000</v>
      </c>
      <c r="F71" s="69"/>
    </row>
    <row r="72" spans="1:6" s="61" customFormat="1" ht="25.5">
      <c r="A72" s="51"/>
      <c r="B72" s="174" t="s">
        <v>172</v>
      </c>
      <c r="C72" s="62" t="s">
        <v>160</v>
      </c>
      <c r="D72" s="62"/>
      <c r="E72" s="214">
        <f>E73</f>
        <v>780000</v>
      </c>
      <c r="F72" s="60"/>
    </row>
    <row r="73" spans="1:6" s="61" customFormat="1" ht="25.5">
      <c r="A73" s="51"/>
      <c r="B73" s="175" t="s">
        <v>139</v>
      </c>
      <c r="C73" s="62" t="s">
        <v>161</v>
      </c>
      <c r="D73" s="62"/>
      <c r="E73" s="214">
        <f>E74</f>
        <v>780000</v>
      </c>
      <c r="F73" s="60"/>
    </row>
    <row r="74" spans="1:6" s="61" customFormat="1" ht="25.5">
      <c r="A74" s="51"/>
      <c r="B74" s="175" t="s">
        <v>162</v>
      </c>
      <c r="C74" s="62" t="s">
        <v>163</v>
      </c>
      <c r="D74" s="62"/>
      <c r="E74" s="214">
        <f>E75</f>
        <v>780000</v>
      </c>
      <c r="F74" s="60"/>
    </row>
    <row r="75" spans="1:6" s="61" customFormat="1" ht="25.5">
      <c r="A75" s="51"/>
      <c r="B75" s="173" t="s">
        <v>199</v>
      </c>
      <c r="C75" s="62" t="s">
        <v>163</v>
      </c>
      <c r="D75" s="62" t="s">
        <v>198</v>
      </c>
      <c r="E75" s="214">
        <f>E76</f>
        <v>780000</v>
      </c>
      <c r="F75" s="60"/>
    </row>
    <row r="76" spans="1:6" s="61" customFormat="1" ht="25.5">
      <c r="A76" s="51"/>
      <c r="B76" s="85" t="s">
        <v>19</v>
      </c>
      <c r="C76" s="62" t="s">
        <v>163</v>
      </c>
      <c r="D76" s="62" t="s">
        <v>20</v>
      </c>
      <c r="E76" s="214">
        <f>функц!F204</f>
        <v>780000</v>
      </c>
      <c r="F76" s="60"/>
    </row>
    <row r="77" spans="1:6" s="61" customFormat="1" ht="12.75">
      <c r="A77" s="51">
        <v>5</v>
      </c>
      <c r="B77" s="176" t="s">
        <v>98</v>
      </c>
      <c r="C77" s="77" t="s">
        <v>164</v>
      </c>
      <c r="D77" s="65"/>
      <c r="E77" s="213">
        <f>E78</f>
        <v>3616900</v>
      </c>
      <c r="F77" s="60"/>
    </row>
    <row r="78" spans="1:6" s="61" customFormat="1" ht="12.75">
      <c r="A78" s="51"/>
      <c r="B78" s="177" t="s">
        <v>165</v>
      </c>
      <c r="C78" s="78" t="s">
        <v>166</v>
      </c>
      <c r="D78" s="62"/>
      <c r="E78" s="214">
        <f>E79</f>
        <v>3616900</v>
      </c>
      <c r="F78" s="60"/>
    </row>
    <row r="79" spans="1:6" s="61" customFormat="1" ht="25.5">
      <c r="A79" s="51"/>
      <c r="B79" s="178" t="s">
        <v>139</v>
      </c>
      <c r="C79" s="78" t="s">
        <v>167</v>
      </c>
      <c r="D79" s="62"/>
      <c r="E79" s="214">
        <f>E80</f>
        <v>3616900</v>
      </c>
      <c r="F79" s="60"/>
    </row>
    <row r="80" spans="1:6" s="61" customFormat="1" ht="12.75">
      <c r="A80" s="51"/>
      <c r="B80" s="177" t="s">
        <v>168</v>
      </c>
      <c r="C80" s="78" t="s">
        <v>169</v>
      </c>
      <c r="D80" s="62"/>
      <c r="E80" s="214">
        <f>E81+E83+E85</f>
        <v>3616900</v>
      </c>
      <c r="F80" s="60"/>
    </row>
    <row r="81" spans="1:6" s="70" customFormat="1" ht="51">
      <c r="A81" s="68"/>
      <c r="B81" s="178" t="s">
        <v>140</v>
      </c>
      <c r="C81" s="78" t="s">
        <v>169</v>
      </c>
      <c r="D81" s="62" t="s">
        <v>200</v>
      </c>
      <c r="E81" s="214">
        <f>E82</f>
        <v>2493600</v>
      </c>
      <c r="F81" s="69"/>
    </row>
    <row r="82" spans="1:6" s="70" customFormat="1" ht="12.75">
      <c r="A82" s="68"/>
      <c r="B82" s="85" t="s">
        <v>24</v>
      </c>
      <c r="C82" s="78" t="s">
        <v>169</v>
      </c>
      <c r="D82" s="62" t="s">
        <v>25</v>
      </c>
      <c r="E82" s="214">
        <f>функц!F212</f>
        <v>2493600</v>
      </c>
      <c r="F82" s="69"/>
    </row>
    <row r="83" spans="1:6" s="70" customFormat="1" ht="25.5">
      <c r="A83" s="68"/>
      <c r="B83" s="173" t="s">
        <v>199</v>
      </c>
      <c r="C83" s="78" t="s">
        <v>169</v>
      </c>
      <c r="D83" s="62" t="s">
        <v>198</v>
      </c>
      <c r="E83" s="214">
        <f>E84</f>
        <v>1029300</v>
      </c>
      <c r="F83" s="69"/>
    </row>
    <row r="84" spans="1:6" s="70" customFormat="1" ht="25.5">
      <c r="A84" s="68"/>
      <c r="B84" s="85" t="s">
        <v>19</v>
      </c>
      <c r="C84" s="78" t="s">
        <v>169</v>
      </c>
      <c r="D84" s="62" t="s">
        <v>20</v>
      </c>
      <c r="E84" s="214">
        <f>функц!F216</f>
        <v>1029300</v>
      </c>
      <c r="F84" s="69"/>
    </row>
    <row r="85" spans="1:6" s="70" customFormat="1" ht="12.75">
      <c r="A85" s="68"/>
      <c r="B85" s="117" t="s">
        <v>201</v>
      </c>
      <c r="C85" s="78" t="s">
        <v>169</v>
      </c>
      <c r="D85" s="62" t="s">
        <v>28</v>
      </c>
      <c r="E85" s="214">
        <f>функц!F219</f>
        <v>94000</v>
      </c>
      <c r="F85" s="69"/>
    </row>
    <row r="86" spans="1:6" s="70" customFormat="1" ht="12.75">
      <c r="A86" s="68"/>
      <c r="B86" s="85" t="s">
        <v>21</v>
      </c>
      <c r="C86" s="78" t="s">
        <v>169</v>
      </c>
      <c r="D86" s="62" t="s">
        <v>22</v>
      </c>
      <c r="E86" s="214">
        <f>функц!F219</f>
        <v>94000</v>
      </c>
      <c r="F86" s="69"/>
    </row>
    <row r="87" spans="1:6" ht="51">
      <c r="A87" s="217" t="s">
        <v>229</v>
      </c>
      <c r="B87" s="218" t="s">
        <v>223</v>
      </c>
      <c r="C87" s="219" t="s">
        <v>224</v>
      </c>
      <c r="D87" s="222"/>
      <c r="E87" s="223">
        <f>E88</f>
        <v>585000</v>
      </c>
      <c r="F87" s="220"/>
    </row>
    <row r="88" spans="1:6" ht="13.5" customHeight="1">
      <c r="A88" s="221"/>
      <c r="B88" s="230" t="s">
        <v>225</v>
      </c>
      <c r="C88" s="231" t="s">
        <v>224</v>
      </c>
      <c r="D88" s="232" t="s">
        <v>226</v>
      </c>
      <c r="E88" s="233">
        <f>функц!F62</f>
        <v>585000</v>
      </c>
      <c r="F88" s="62" t="s">
        <v>226</v>
      </c>
    </row>
    <row r="89" spans="1:5" ht="38.25">
      <c r="A89" s="229" t="s">
        <v>232</v>
      </c>
      <c r="B89" s="218" t="s">
        <v>230</v>
      </c>
      <c r="C89" s="234" t="s">
        <v>233</v>
      </c>
      <c r="D89" s="222"/>
      <c r="E89" s="226">
        <f>E90+E92</f>
        <v>15000000</v>
      </c>
    </row>
    <row r="90" spans="1:5" ht="65.25" customHeight="1">
      <c r="A90" s="229"/>
      <c r="B90" s="75" t="s">
        <v>361</v>
      </c>
      <c r="C90" s="235" t="s">
        <v>231</v>
      </c>
      <c r="D90" s="62"/>
      <c r="E90" s="225">
        <f>E91</f>
        <v>14250000</v>
      </c>
    </row>
    <row r="91" spans="1:5" ht="12.75">
      <c r="A91" s="236"/>
      <c r="B91" s="64" t="s">
        <v>59</v>
      </c>
      <c r="C91" s="101" t="s">
        <v>231</v>
      </c>
      <c r="D91" s="86" t="s">
        <v>30</v>
      </c>
      <c r="E91" s="225">
        <f>функц!F128</f>
        <v>14250000</v>
      </c>
    </row>
    <row r="92" spans="1:5" ht="63.75">
      <c r="A92" s="236"/>
      <c r="B92" s="75" t="s">
        <v>360</v>
      </c>
      <c r="C92" s="101" t="s">
        <v>357</v>
      </c>
      <c r="D92" s="62"/>
      <c r="E92" s="225">
        <f>E93</f>
        <v>750000</v>
      </c>
    </row>
    <row r="93" spans="1:5" ht="12.75">
      <c r="A93" s="236"/>
      <c r="B93" s="64" t="s">
        <v>59</v>
      </c>
      <c r="C93" s="101" t="s">
        <v>357</v>
      </c>
      <c r="D93" s="86" t="s">
        <v>30</v>
      </c>
      <c r="E93" s="225">
        <f>функц!F130</f>
        <v>750000</v>
      </c>
    </row>
    <row r="94" ht="12">
      <c r="E94" s="59"/>
    </row>
    <row r="95" ht="12">
      <c r="E95" s="59"/>
    </row>
    <row r="96" ht="12">
      <c r="E96" s="59"/>
    </row>
    <row r="97" ht="12">
      <c r="E97" s="59"/>
    </row>
    <row r="98" ht="12">
      <c r="E98" s="59"/>
    </row>
    <row r="99" ht="12">
      <c r="E99" s="59"/>
    </row>
    <row r="100" ht="12">
      <c r="E100" s="59"/>
    </row>
    <row r="101" ht="12">
      <c r="E101" s="59"/>
    </row>
    <row r="102" ht="12">
      <c r="E102" s="59"/>
    </row>
    <row r="103" ht="12">
      <c r="E103" s="59"/>
    </row>
    <row r="104" ht="12">
      <c r="E104" s="59"/>
    </row>
    <row r="105" ht="12">
      <c r="E105" s="59"/>
    </row>
    <row r="106" ht="12">
      <c r="E106" s="59"/>
    </row>
    <row r="107" ht="12">
      <c r="E107" s="59"/>
    </row>
    <row r="108" ht="12">
      <c r="E108" s="59"/>
    </row>
    <row r="109" ht="12">
      <c r="E109" s="59"/>
    </row>
    <row r="110" ht="12">
      <c r="E110" s="59"/>
    </row>
    <row r="111" ht="12">
      <c r="E111" s="59"/>
    </row>
    <row r="112" ht="12">
      <c r="E112" s="59"/>
    </row>
    <row r="113" ht="12">
      <c r="E113" s="59"/>
    </row>
    <row r="114" ht="12">
      <c r="E114" s="59"/>
    </row>
    <row r="115" ht="12">
      <c r="E115" s="59"/>
    </row>
    <row r="116" ht="12">
      <c r="E116" s="59"/>
    </row>
    <row r="117" ht="12">
      <c r="E117" s="59"/>
    </row>
    <row r="118" ht="12">
      <c r="E118" s="59"/>
    </row>
    <row r="119" ht="12">
      <c r="E119" s="59"/>
    </row>
    <row r="120" ht="12">
      <c r="E120" s="59"/>
    </row>
    <row r="121" ht="12">
      <c r="E121" s="59"/>
    </row>
    <row r="122" ht="12">
      <c r="E122" s="59"/>
    </row>
    <row r="123" ht="12">
      <c r="E123" s="59"/>
    </row>
    <row r="124" ht="12">
      <c r="E124" s="59"/>
    </row>
    <row r="125" ht="12">
      <c r="E125" s="59"/>
    </row>
    <row r="126" ht="12">
      <c r="E126" s="59"/>
    </row>
    <row r="127" ht="12">
      <c r="E127" s="59"/>
    </row>
    <row r="128" ht="12">
      <c r="E128" s="59"/>
    </row>
    <row r="129" ht="12">
      <c r="E129" s="59"/>
    </row>
    <row r="130" ht="12">
      <c r="E130" s="59"/>
    </row>
    <row r="131" ht="12">
      <c r="E131" s="59"/>
    </row>
    <row r="132" ht="12">
      <c r="E132" s="59"/>
    </row>
    <row r="133" ht="12">
      <c r="E133" s="59"/>
    </row>
    <row r="134" ht="12">
      <c r="E134" s="59"/>
    </row>
    <row r="135" ht="12">
      <c r="E135" s="59"/>
    </row>
    <row r="136" ht="12">
      <c r="E136" s="59"/>
    </row>
    <row r="137" ht="12">
      <c r="E137" s="59"/>
    </row>
    <row r="138" ht="12">
      <c r="E138" s="59"/>
    </row>
    <row r="139" ht="12">
      <c r="E139" s="59"/>
    </row>
    <row r="140" ht="12">
      <c r="E140" s="59"/>
    </row>
    <row r="141" ht="12">
      <c r="E141" s="59"/>
    </row>
    <row r="142" ht="12">
      <c r="E142" s="59"/>
    </row>
    <row r="143" ht="12">
      <c r="E143" s="59"/>
    </row>
    <row r="144" ht="12">
      <c r="E144" s="59"/>
    </row>
    <row r="145" ht="12">
      <c r="E145" s="59"/>
    </row>
    <row r="146" ht="12">
      <c r="E146" s="59"/>
    </row>
    <row r="147" ht="12">
      <c r="E147" s="59"/>
    </row>
    <row r="148" ht="12">
      <c r="E148" s="59"/>
    </row>
    <row r="149" ht="12">
      <c r="E149" s="59"/>
    </row>
    <row r="150" ht="12">
      <c r="E150" s="59"/>
    </row>
    <row r="151" ht="12">
      <c r="E151" s="59"/>
    </row>
    <row r="152" ht="12">
      <c r="E152" s="59"/>
    </row>
    <row r="153" ht="12">
      <c r="E153" s="59"/>
    </row>
    <row r="154" ht="12">
      <c r="E154" s="59"/>
    </row>
    <row r="155" ht="12">
      <c r="E155" s="59"/>
    </row>
    <row r="156" ht="12">
      <c r="E156" s="59"/>
    </row>
    <row r="157" ht="12">
      <c r="E157" s="59"/>
    </row>
    <row r="158" ht="12">
      <c r="E158" s="59"/>
    </row>
    <row r="159" ht="12">
      <c r="E159" s="59"/>
    </row>
    <row r="160" ht="12">
      <c r="E160" s="59"/>
    </row>
    <row r="161" ht="12">
      <c r="E161" s="59"/>
    </row>
    <row r="162" ht="12">
      <c r="E162" s="59"/>
    </row>
    <row r="163" ht="12">
      <c r="E163" s="59"/>
    </row>
    <row r="164" ht="12">
      <c r="E164" s="59"/>
    </row>
    <row r="165" ht="12">
      <c r="E165" s="59"/>
    </row>
    <row r="166" ht="12">
      <c r="E166" s="59"/>
    </row>
    <row r="167" ht="12">
      <c r="E167" s="59"/>
    </row>
    <row r="168" ht="12">
      <c r="E168" s="59"/>
    </row>
    <row r="169" ht="12">
      <c r="E169" s="59"/>
    </row>
    <row r="170" ht="12">
      <c r="E170" s="59"/>
    </row>
    <row r="171" ht="12">
      <c r="E171" s="59"/>
    </row>
    <row r="172" ht="12">
      <c r="E172" s="59"/>
    </row>
    <row r="173" ht="12">
      <c r="E173" s="59"/>
    </row>
    <row r="174" ht="12">
      <c r="E174" s="59"/>
    </row>
    <row r="175" ht="12">
      <c r="E175" s="59"/>
    </row>
    <row r="176" ht="12">
      <c r="E176" s="59"/>
    </row>
    <row r="177" ht="12">
      <c r="E177" s="59"/>
    </row>
    <row r="178" ht="12">
      <c r="E178" s="59"/>
    </row>
    <row r="179" ht="12">
      <c r="E179" s="59"/>
    </row>
    <row r="180" ht="12">
      <c r="E180" s="59"/>
    </row>
    <row r="181" ht="12">
      <c r="E181" s="59"/>
    </row>
    <row r="182" ht="12">
      <c r="E182" s="59"/>
    </row>
    <row r="183" ht="12">
      <c r="E183" s="59"/>
    </row>
    <row r="184" ht="12">
      <c r="E184" s="59"/>
    </row>
    <row r="185" ht="12">
      <c r="E185" s="59"/>
    </row>
    <row r="186" ht="12">
      <c r="E186" s="59"/>
    </row>
    <row r="187" ht="12">
      <c r="E187" s="59"/>
    </row>
    <row r="188" ht="12">
      <c r="E188" s="59"/>
    </row>
    <row r="189" ht="12">
      <c r="E189" s="59"/>
    </row>
    <row r="190" ht="12">
      <c r="E190" s="59"/>
    </row>
    <row r="191" ht="12">
      <c r="E191" s="59"/>
    </row>
    <row r="192" ht="12">
      <c r="E192" s="59"/>
    </row>
    <row r="193" ht="12">
      <c r="E193" s="59"/>
    </row>
    <row r="194" ht="12">
      <c r="E194" s="59"/>
    </row>
    <row r="195" ht="12">
      <c r="E195" s="59"/>
    </row>
    <row r="196" ht="12">
      <c r="E196" s="59"/>
    </row>
    <row r="197" ht="12">
      <c r="E197" s="59"/>
    </row>
    <row r="198" ht="12">
      <c r="E198" s="59"/>
    </row>
    <row r="199" ht="12">
      <c r="E199" s="59"/>
    </row>
    <row r="200" ht="12">
      <c r="E200" s="59"/>
    </row>
    <row r="201" ht="12">
      <c r="E201" s="59"/>
    </row>
    <row r="202" ht="12">
      <c r="E202" s="59"/>
    </row>
    <row r="203" ht="12">
      <c r="E203" s="59"/>
    </row>
    <row r="204" ht="12">
      <c r="E204" s="59"/>
    </row>
    <row r="205" ht="12">
      <c r="E205" s="59"/>
    </row>
    <row r="206" ht="12">
      <c r="E206" s="59"/>
    </row>
    <row r="207" ht="12">
      <c r="E207" s="59"/>
    </row>
    <row r="208" ht="12">
      <c r="E208" s="59"/>
    </row>
    <row r="209" ht="12">
      <c r="E209" s="59"/>
    </row>
    <row r="210" ht="12">
      <c r="E210" s="59"/>
    </row>
    <row r="211" ht="12">
      <c r="E211" s="59"/>
    </row>
    <row r="212" ht="12">
      <c r="E212" s="59"/>
    </row>
    <row r="213" ht="12">
      <c r="E213" s="59"/>
    </row>
    <row r="214" ht="12">
      <c r="E214" s="59"/>
    </row>
    <row r="215" ht="12">
      <c r="E215" s="59"/>
    </row>
    <row r="216" ht="12">
      <c r="E216" s="59"/>
    </row>
    <row r="217" ht="12">
      <c r="E217" s="59"/>
    </row>
    <row r="218" ht="12">
      <c r="E218" s="59"/>
    </row>
    <row r="219" ht="12">
      <c r="E219" s="59"/>
    </row>
    <row r="220" ht="12">
      <c r="E220" s="59"/>
    </row>
    <row r="221" ht="12">
      <c r="E221" s="59"/>
    </row>
    <row r="222" ht="12">
      <c r="E222" s="59"/>
    </row>
    <row r="223" ht="12">
      <c r="E223" s="59"/>
    </row>
    <row r="224" ht="12">
      <c r="E224" s="59"/>
    </row>
    <row r="225" ht="12">
      <c r="E225" s="59"/>
    </row>
    <row r="226" ht="12">
      <c r="E226" s="59"/>
    </row>
    <row r="227" ht="12">
      <c r="E227" s="59"/>
    </row>
    <row r="228" ht="12">
      <c r="E228" s="59"/>
    </row>
    <row r="229" ht="12">
      <c r="E229" s="59"/>
    </row>
    <row r="230" ht="12">
      <c r="E230" s="59"/>
    </row>
    <row r="231" ht="12">
      <c r="E231" s="59"/>
    </row>
    <row r="232" ht="12">
      <c r="E232" s="59"/>
    </row>
    <row r="233" ht="12">
      <c r="E233" s="59"/>
    </row>
    <row r="234" ht="12">
      <c r="E234" s="59"/>
    </row>
    <row r="235" ht="12">
      <c r="E235" s="59"/>
    </row>
    <row r="236" ht="12">
      <c r="E236" s="59"/>
    </row>
    <row r="237" ht="12">
      <c r="E237" s="59"/>
    </row>
    <row r="238" ht="12">
      <c r="E238" s="59"/>
    </row>
    <row r="239" ht="12">
      <c r="E239" s="59"/>
    </row>
    <row r="240" ht="12">
      <c r="E240" s="59"/>
    </row>
    <row r="241" ht="12">
      <c r="E241" s="59"/>
    </row>
    <row r="242" ht="12">
      <c r="E242" s="59"/>
    </row>
    <row r="243" ht="12">
      <c r="E243" s="59"/>
    </row>
    <row r="244" ht="12">
      <c r="E244" s="59"/>
    </row>
    <row r="245" ht="12">
      <c r="E245" s="59"/>
    </row>
    <row r="246" ht="12">
      <c r="E246" s="59"/>
    </row>
    <row r="247" ht="12">
      <c r="E247" s="59"/>
    </row>
    <row r="248" ht="12">
      <c r="E248" s="59"/>
    </row>
    <row r="249" ht="12">
      <c r="E249" s="59"/>
    </row>
    <row r="250" ht="12">
      <c r="E250" s="59"/>
    </row>
    <row r="251" ht="12">
      <c r="E251" s="59"/>
    </row>
    <row r="252" ht="12">
      <c r="E252" s="59"/>
    </row>
    <row r="253" ht="12">
      <c r="E253" s="59"/>
    </row>
    <row r="254" ht="12">
      <c r="E254" s="59"/>
    </row>
    <row r="255" ht="12">
      <c r="E255" s="59"/>
    </row>
    <row r="256" ht="12">
      <c r="E256" s="59"/>
    </row>
    <row r="257" ht="12">
      <c r="E257" s="59"/>
    </row>
    <row r="258" ht="12">
      <c r="E258" s="59"/>
    </row>
    <row r="259" ht="12">
      <c r="E259" s="59"/>
    </row>
    <row r="260" ht="12">
      <c r="E260" s="59"/>
    </row>
    <row r="261" ht="12">
      <c r="E261" s="59"/>
    </row>
    <row r="262" ht="12">
      <c r="E262" s="59"/>
    </row>
    <row r="263" ht="12">
      <c r="E263" s="59"/>
    </row>
    <row r="264" ht="12">
      <c r="E264" s="59"/>
    </row>
    <row r="265" ht="12">
      <c r="E265" s="59"/>
    </row>
    <row r="266" ht="12">
      <c r="E266" s="59"/>
    </row>
    <row r="267" ht="12">
      <c r="E267" s="59"/>
    </row>
    <row r="268" ht="12">
      <c r="E268" s="59"/>
    </row>
    <row r="269" ht="12">
      <c r="E269" s="59"/>
    </row>
    <row r="270" ht="12">
      <c r="E270" s="59"/>
    </row>
    <row r="271" ht="12">
      <c r="E271" s="59"/>
    </row>
    <row r="272" ht="12">
      <c r="E272" s="59"/>
    </row>
    <row r="273" ht="12">
      <c r="E273" s="59"/>
    </row>
    <row r="274" ht="12">
      <c r="E274" s="59"/>
    </row>
    <row r="275" ht="12">
      <c r="E275" s="59"/>
    </row>
    <row r="276" ht="12">
      <c r="E276" s="59"/>
    </row>
    <row r="277" ht="12">
      <c r="E277" s="59"/>
    </row>
    <row r="278" ht="12">
      <c r="E278" s="59"/>
    </row>
    <row r="279" ht="12">
      <c r="E279" s="59"/>
    </row>
    <row r="280" ht="12">
      <c r="E280" s="59"/>
    </row>
    <row r="281" ht="12">
      <c r="E281" s="59"/>
    </row>
    <row r="282" ht="12">
      <c r="E282" s="59"/>
    </row>
    <row r="283" ht="12">
      <c r="E283" s="59"/>
    </row>
    <row r="284" ht="12">
      <c r="E284" s="59"/>
    </row>
    <row r="285" ht="12">
      <c r="E285" s="59"/>
    </row>
    <row r="286" ht="12">
      <c r="E286" s="59"/>
    </row>
    <row r="287" ht="12">
      <c r="E287" s="59"/>
    </row>
    <row r="288" ht="12">
      <c r="E288" s="59"/>
    </row>
    <row r="289" ht="12">
      <c r="E289" s="59"/>
    </row>
    <row r="290" ht="12">
      <c r="E290" s="59"/>
    </row>
    <row r="291" ht="12">
      <c r="E291" s="59"/>
    </row>
    <row r="292" ht="12">
      <c r="E292" s="59"/>
    </row>
    <row r="293" ht="12">
      <c r="E293" s="59"/>
    </row>
    <row r="294" ht="12">
      <c r="E294" s="59"/>
    </row>
    <row r="295" ht="12">
      <c r="E295" s="59"/>
    </row>
    <row r="296" ht="12">
      <c r="E296" s="59"/>
    </row>
    <row r="297" ht="12">
      <c r="E297" s="59"/>
    </row>
    <row r="298" ht="12">
      <c r="E298" s="59"/>
    </row>
    <row r="299" ht="12">
      <c r="E299" s="59"/>
    </row>
    <row r="300" ht="12">
      <c r="E300" s="59"/>
    </row>
    <row r="301" ht="12">
      <c r="E301" s="59"/>
    </row>
    <row r="302" ht="12">
      <c r="E302" s="59"/>
    </row>
    <row r="303" ht="12">
      <c r="E303" s="59"/>
    </row>
    <row r="304" ht="12">
      <c r="E304" s="59"/>
    </row>
    <row r="305" ht="12">
      <c r="E305" s="59"/>
    </row>
    <row r="306" ht="12">
      <c r="E306" s="59"/>
    </row>
    <row r="307" ht="12">
      <c r="E307" s="59"/>
    </row>
    <row r="308" ht="12">
      <c r="E308" s="59"/>
    </row>
    <row r="309" ht="12">
      <c r="E309" s="59"/>
    </row>
    <row r="310" ht="12">
      <c r="E310" s="59"/>
    </row>
    <row r="311" ht="12">
      <c r="E311" s="59"/>
    </row>
    <row r="312" ht="12">
      <c r="E312" s="59"/>
    </row>
    <row r="313" ht="12">
      <c r="E313" s="59"/>
    </row>
    <row r="314" ht="12">
      <c r="E314" s="59"/>
    </row>
    <row r="315" ht="12">
      <c r="E315" s="59"/>
    </row>
    <row r="316" ht="12">
      <c r="E316" s="59"/>
    </row>
    <row r="317" ht="12">
      <c r="E317" s="59"/>
    </row>
    <row r="318" ht="12">
      <c r="E318" s="59"/>
    </row>
    <row r="319" ht="12">
      <c r="E319" s="59"/>
    </row>
    <row r="320" ht="12">
      <c r="E320" s="59"/>
    </row>
    <row r="321" ht="12">
      <c r="E321" s="59"/>
    </row>
    <row r="322" ht="12">
      <c r="E322" s="59"/>
    </row>
    <row r="323" ht="12">
      <c r="E323" s="59"/>
    </row>
    <row r="324" ht="12">
      <c r="E324" s="59"/>
    </row>
    <row r="325" ht="12">
      <c r="E325" s="59"/>
    </row>
    <row r="326" ht="12">
      <c r="E326" s="59"/>
    </row>
    <row r="327" ht="12">
      <c r="E327" s="59"/>
    </row>
    <row r="328" ht="12">
      <c r="E328" s="59"/>
    </row>
    <row r="329" ht="12">
      <c r="E329" s="59"/>
    </row>
    <row r="330" ht="12">
      <c r="E330" s="59"/>
    </row>
    <row r="331" ht="12">
      <c r="E331" s="59"/>
    </row>
    <row r="332" ht="12">
      <c r="E332" s="59"/>
    </row>
    <row r="333" ht="12">
      <c r="E333" s="59"/>
    </row>
    <row r="334" ht="12">
      <c r="E334" s="59"/>
    </row>
    <row r="335" ht="12">
      <c r="E335" s="59"/>
    </row>
    <row r="336" ht="12">
      <c r="E336" s="59"/>
    </row>
    <row r="337" ht="12">
      <c r="E337" s="59"/>
    </row>
    <row r="338" ht="12">
      <c r="E338" s="59"/>
    </row>
    <row r="339" ht="12">
      <c r="E339" s="59"/>
    </row>
    <row r="340" ht="12">
      <c r="E340" s="59"/>
    </row>
    <row r="341" ht="12">
      <c r="E341" s="59"/>
    </row>
    <row r="342" ht="12">
      <c r="E342" s="59"/>
    </row>
    <row r="343" ht="12">
      <c r="E343" s="59"/>
    </row>
    <row r="344" ht="12">
      <c r="E344" s="59"/>
    </row>
    <row r="345" ht="12">
      <c r="E345" s="59"/>
    </row>
    <row r="346" ht="12">
      <c r="E346" s="59"/>
    </row>
    <row r="347" ht="12">
      <c r="E347" s="59"/>
    </row>
    <row r="348" ht="12">
      <c r="E348" s="59"/>
    </row>
    <row r="349" ht="12">
      <c r="E349" s="59"/>
    </row>
    <row r="350" ht="12">
      <c r="E350" s="59"/>
    </row>
    <row r="351" ht="12">
      <c r="E351" s="59"/>
    </row>
    <row r="352" ht="12">
      <c r="E352" s="59"/>
    </row>
    <row r="353" ht="12">
      <c r="E353" s="59"/>
    </row>
    <row r="354" ht="12">
      <c r="E354" s="59"/>
    </row>
    <row r="355" ht="12">
      <c r="E355" s="59"/>
    </row>
    <row r="356" ht="12">
      <c r="E356" s="59"/>
    </row>
    <row r="357" ht="12">
      <c r="E357" s="59"/>
    </row>
    <row r="358" ht="12">
      <c r="E358" s="59"/>
    </row>
    <row r="359" ht="12">
      <c r="E359" s="59"/>
    </row>
    <row r="360" ht="12">
      <c r="E360" s="59"/>
    </row>
    <row r="361" ht="12">
      <c r="E361" s="59"/>
    </row>
    <row r="362" ht="12">
      <c r="E362" s="59"/>
    </row>
    <row r="363" ht="12">
      <c r="E363" s="59"/>
    </row>
    <row r="364" ht="12">
      <c r="E364" s="59"/>
    </row>
    <row r="365" ht="12">
      <c r="E365" s="59"/>
    </row>
    <row r="366" ht="12">
      <c r="E366" s="59"/>
    </row>
    <row r="367" ht="12">
      <c r="E367" s="59"/>
    </row>
    <row r="368" ht="12">
      <c r="E368" s="59"/>
    </row>
    <row r="369" ht="12">
      <c r="E369" s="59"/>
    </row>
    <row r="370" ht="12">
      <c r="E370" s="59"/>
    </row>
    <row r="371" ht="12">
      <c r="E371" s="59"/>
    </row>
    <row r="372" ht="12">
      <c r="E372" s="59"/>
    </row>
    <row r="373" ht="12">
      <c r="E373" s="59"/>
    </row>
    <row r="374" ht="12">
      <c r="E374" s="59"/>
    </row>
    <row r="375" ht="12">
      <c r="E375" s="59"/>
    </row>
    <row r="376" ht="12">
      <c r="E376" s="59"/>
    </row>
    <row r="377" ht="12">
      <c r="E377" s="59"/>
    </row>
    <row r="378" ht="12">
      <c r="E378" s="59"/>
    </row>
    <row r="379" ht="12">
      <c r="E379" s="59"/>
    </row>
    <row r="380" ht="12">
      <c r="E380" s="59"/>
    </row>
    <row r="381" ht="12">
      <c r="E381" s="59"/>
    </row>
    <row r="382" ht="12">
      <c r="E382" s="59"/>
    </row>
    <row r="383" ht="12">
      <c r="E383" s="59"/>
    </row>
    <row r="384" ht="12">
      <c r="E384" s="59"/>
    </row>
    <row r="385" ht="12">
      <c r="E385" s="59"/>
    </row>
    <row r="386" ht="12">
      <c r="E386" s="59"/>
    </row>
    <row r="387" ht="12">
      <c r="E387" s="59"/>
    </row>
    <row r="388" ht="12">
      <c r="E388" s="59"/>
    </row>
    <row r="389" ht="12">
      <c r="E389" s="59"/>
    </row>
    <row r="390" ht="12">
      <c r="E390" s="59"/>
    </row>
    <row r="391" ht="12">
      <c r="E391" s="59"/>
    </row>
    <row r="392" ht="12">
      <c r="E392" s="59"/>
    </row>
    <row r="393" ht="12">
      <c r="E393" s="59"/>
    </row>
    <row r="394" ht="12">
      <c r="E394" s="59"/>
    </row>
    <row r="395" ht="12">
      <c r="E395" s="59"/>
    </row>
    <row r="396" ht="12">
      <c r="E396" s="59"/>
    </row>
    <row r="397" ht="12">
      <c r="E397" s="59"/>
    </row>
    <row r="398" ht="12">
      <c r="E398" s="59"/>
    </row>
    <row r="399" ht="12">
      <c r="E399" s="59"/>
    </row>
    <row r="400" ht="12">
      <c r="E400" s="59"/>
    </row>
    <row r="401" ht="12">
      <c r="E401" s="59"/>
    </row>
    <row r="402" ht="12">
      <c r="E402" s="59"/>
    </row>
    <row r="403" ht="12">
      <c r="E403" s="59"/>
    </row>
    <row r="404" ht="12">
      <c r="E404" s="59"/>
    </row>
    <row r="405" ht="12">
      <c r="E405" s="59"/>
    </row>
    <row r="406" ht="12">
      <c r="E406" s="59"/>
    </row>
    <row r="407" ht="12">
      <c r="E407" s="59"/>
    </row>
    <row r="408" ht="12">
      <c r="E408" s="59"/>
    </row>
    <row r="409" ht="12">
      <c r="E409" s="59"/>
    </row>
    <row r="410" ht="12">
      <c r="E410" s="59"/>
    </row>
    <row r="411" ht="12">
      <c r="E411" s="59"/>
    </row>
    <row r="412" ht="12">
      <c r="E412" s="59"/>
    </row>
    <row r="413" ht="12">
      <c r="E413" s="59"/>
    </row>
    <row r="414" ht="12">
      <c r="E414" s="59"/>
    </row>
    <row r="415" ht="12">
      <c r="E415" s="59"/>
    </row>
    <row r="416" ht="12">
      <c r="E416" s="59"/>
    </row>
    <row r="417" ht="12">
      <c r="E417" s="59"/>
    </row>
    <row r="418" ht="12">
      <c r="E418" s="59"/>
    </row>
    <row r="419" ht="12">
      <c r="E419" s="59"/>
    </row>
    <row r="420" ht="12">
      <c r="E420" s="59"/>
    </row>
    <row r="421" ht="12">
      <c r="E421" s="59"/>
    </row>
    <row r="422" ht="12">
      <c r="E422" s="59"/>
    </row>
    <row r="423" ht="12">
      <c r="E423" s="59"/>
    </row>
    <row r="424" ht="12">
      <c r="E424" s="59"/>
    </row>
    <row r="425" ht="12">
      <c r="E425" s="59"/>
    </row>
    <row r="426" ht="12">
      <c r="E426" s="59"/>
    </row>
    <row r="427" ht="12">
      <c r="E427" s="59"/>
    </row>
    <row r="428" ht="12">
      <c r="E428" s="59"/>
    </row>
    <row r="429" ht="12">
      <c r="E429" s="59"/>
    </row>
    <row r="430" ht="12">
      <c r="E430" s="59"/>
    </row>
    <row r="431" ht="12">
      <c r="E431" s="59"/>
    </row>
    <row r="432" ht="12">
      <c r="E432" s="59"/>
    </row>
    <row r="433" ht="12">
      <c r="E433" s="59"/>
    </row>
    <row r="434" ht="12">
      <c r="E434" s="59"/>
    </row>
    <row r="435" ht="12">
      <c r="E435" s="59"/>
    </row>
    <row r="436" ht="12">
      <c r="E436" s="59"/>
    </row>
    <row r="437" ht="12">
      <c r="E437" s="59"/>
    </row>
    <row r="438" ht="12">
      <c r="E438" s="59"/>
    </row>
    <row r="439" ht="12">
      <c r="E439" s="59"/>
    </row>
    <row r="440" ht="12">
      <c r="E440" s="59"/>
    </row>
    <row r="441" ht="12">
      <c r="E441" s="59"/>
    </row>
    <row r="442" ht="12">
      <c r="E442" s="59"/>
    </row>
    <row r="443" ht="12">
      <c r="E443" s="59"/>
    </row>
    <row r="444" ht="12">
      <c r="E444" s="59"/>
    </row>
    <row r="445" ht="12">
      <c r="E445" s="59"/>
    </row>
    <row r="446" ht="12">
      <c r="E446" s="59"/>
    </row>
    <row r="447" ht="12">
      <c r="E447" s="59"/>
    </row>
    <row r="448" ht="12">
      <c r="E448" s="59"/>
    </row>
    <row r="449" ht="12">
      <c r="E449" s="59"/>
    </row>
    <row r="450" ht="12">
      <c r="E450" s="59"/>
    </row>
    <row r="451" ht="12">
      <c r="E451" s="59"/>
    </row>
    <row r="452" ht="12">
      <c r="E452" s="59"/>
    </row>
    <row r="453" ht="12">
      <c r="E453" s="59"/>
    </row>
    <row r="454" ht="12">
      <c r="E454" s="59"/>
    </row>
    <row r="455" ht="12">
      <c r="E455" s="59"/>
    </row>
    <row r="456" ht="12">
      <c r="E456" s="59"/>
    </row>
    <row r="457" ht="12">
      <c r="E457" s="59"/>
    </row>
    <row r="458" ht="12">
      <c r="E458" s="59"/>
    </row>
    <row r="459" ht="12">
      <c r="E459" s="59"/>
    </row>
    <row r="460" ht="12">
      <c r="E460" s="59"/>
    </row>
    <row r="461" ht="12">
      <c r="E461" s="59"/>
    </row>
    <row r="462" ht="12">
      <c r="E462" s="59"/>
    </row>
    <row r="463" ht="12">
      <c r="E463" s="59"/>
    </row>
    <row r="464" ht="12">
      <c r="E464" s="59"/>
    </row>
    <row r="465" ht="12">
      <c r="E465" s="59"/>
    </row>
    <row r="466" ht="12">
      <c r="E466" s="59"/>
    </row>
    <row r="467" ht="12">
      <c r="E467" s="59"/>
    </row>
    <row r="468" ht="12">
      <c r="E468" s="59"/>
    </row>
    <row r="469" ht="12">
      <c r="E469" s="59"/>
    </row>
    <row r="470" ht="12">
      <c r="E470" s="59"/>
    </row>
    <row r="471" ht="12">
      <c r="E471" s="59"/>
    </row>
    <row r="472" ht="12">
      <c r="E472" s="59"/>
    </row>
    <row r="473" ht="12">
      <c r="E473" s="59"/>
    </row>
    <row r="474" ht="12">
      <c r="E474" s="59"/>
    </row>
    <row r="475" ht="12">
      <c r="E475" s="59"/>
    </row>
    <row r="476" ht="12">
      <c r="E476" s="59"/>
    </row>
  </sheetData>
  <sheetProtection/>
  <mergeCells count="9">
    <mergeCell ref="A6:E6"/>
    <mergeCell ref="A8:E8"/>
    <mergeCell ref="A13:E13"/>
    <mergeCell ref="A15:E15"/>
    <mergeCell ref="C9:E9"/>
    <mergeCell ref="C11:E11"/>
    <mergeCell ref="B12:E12"/>
    <mergeCell ref="B10:G10"/>
    <mergeCell ref="A7:E7"/>
  </mergeCells>
  <printOptions/>
  <pageMargins left="0.7086614173228347" right="0.15748031496062992" top="0.4330708661417323" bottom="0.3937007874015748" header="0.15748031496062992" footer="0.2362204724409449"/>
  <pageSetup blackAndWhite="1" horizontalDpi="600" verticalDpi="600" orientation="portrait" paperSize="9" scale="8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60" zoomScalePageLayoutView="0" workbookViewId="0" topLeftCell="A1">
      <selection activeCell="A5" sqref="A5:J5"/>
    </sheetView>
  </sheetViews>
  <sheetFormatPr defaultColWidth="9.00390625" defaultRowHeight="12.75"/>
  <cols>
    <col min="1" max="1" width="4.125" style="0" customWidth="1"/>
    <col min="2" max="2" width="3.625" style="0" customWidth="1"/>
    <col min="3" max="3" width="3.375" style="0" customWidth="1"/>
    <col min="4" max="4" width="3.75390625" style="0" customWidth="1"/>
    <col min="5" max="5" width="4.125" style="0" customWidth="1"/>
    <col min="6" max="6" width="3.625" style="0" customWidth="1"/>
    <col min="7" max="7" width="5.875" style="0" customWidth="1"/>
    <col min="8" max="8" width="4.625" style="0" customWidth="1"/>
    <col min="9" max="9" width="47.875" style="0" customWidth="1"/>
    <col min="10" max="10" width="18.125" style="0" customWidth="1"/>
  </cols>
  <sheetData>
    <row r="1" spans="1:10" ht="13.5">
      <c r="A1" s="303" t="s">
        <v>16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3.5">
      <c r="A2" s="303" t="s">
        <v>364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3.5">
      <c r="A3" s="303" t="s">
        <v>363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3.5">
      <c r="A4" s="303" t="s">
        <v>298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3.5">
      <c r="A5" s="311" t="s">
        <v>236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3.5">
      <c r="A6" s="311" t="s">
        <v>237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3.5">
      <c r="A7" s="311" t="s">
        <v>240</v>
      </c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3.5">
      <c r="A8" s="311" t="s">
        <v>239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5">
      <c r="A9" s="270"/>
      <c r="B9" s="270"/>
      <c r="C9" s="270"/>
      <c r="D9" s="270"/>
      <c r="E9" s="270"/>
      <c r="F9" s="270"/>
      <c r="G9" s="270"/>
      <c r="H9" s="270"/>
      <c r="I9" s="271"/>
      <c r="J9" s="271"/>
    </row>
    <row r="10" spans="1:10" ht="15.75">
      <c r="A10" s="270"/>
      <c r="B10" s="270"/>
      <c r="C10" s="270"/>
      <c r="D10" s="270"/>
      <c r="E10" s="270"/>
      <c r="F10" s="270"/>
      <c r="G10" s="270"/>
      <c r="H10" s="270"/>
      <c r="I10" s="272"/>
      <c r="J10" s="273"/>
    </row>
    <row r="11" spans="1:10" ht="40.5" customHeight="1">
      <c r="A11" s="312" t="s">
        <v>356</v>
      </c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5.75">
      <c r="A12" s="274"/>
      <c r="B12" s="270"/>
      <c r="C12" s="270"/>
      <c r="D12" s="270"/>
      <c r="E12" s="270"/>
      <c r="F12" s="270"/>
      <c r="G12" s="270"/>
      <c r="H12" s="270"/>
      <c r="I12" s="237"/>
      <c r="J12" s="275"/>
    </row>
    <row r="13" spans="1:10" ht="15">
      <c r="A13" s="270"/>
      <c r="B13" s="270"/>
      <c r="C13" s="270"/>
      <c r="D13" s="270"/>
      <c r="E13" s="270"/>
      <c r="F13" s="270"/>
      <c r="G13" s="270"/>
      <c r="H13" s="270"/>
      <c r="I13" s="276"/>
      <c r="J13" s="277"/>
    </row>
    <row r="14" spans="1:10" ht="14.25">
      <c r="A14" s="278"/>
      <c r="B14" s="313" t="s">
        <v>299</v>
      </c>
      <c r="C14" s="313"/>
      <c r="D14" s="313"/>
      <c r="E14" s="313"/>
      <c r="F14" s="313"/>
      <c r="G14" s="313"/>
      <c r="H14" s="313"/>
      <c r="I14" s="314" t="s">
        <v>300</v>
      </c>
      <c r="J14" s="313" t="s">
        <v>301</v>
      </c>
    </row>
    <row r="15" spans="1:10" ht="138.75">
      <c r="A15" s="279" t="s">
        <v>302</v>
      </c>
      <c r="B15" s="279" t="s">
        <v>303</v>
      </c>
      <c r="C15" s="279" t="s">
        <v>304</v>
      </c>
      <c r="D15" s="279" t="s">
        <v>305</v>
      </c>
      <c r="E15" s="279" t="s">
        <v>306</v>
      </c>
      <c r="F15" s="279" t="s">
        <v>307</v>
      </c>
      <c r="G15" s="279" t="s">
        <v>308</v>
      </c>
      <c r="H15" s="279" t="s">
        <v>309</v>
      </c>
      <c r="I15" s="314"/>
      <c r="J15" s="313"/>
    </row>
    <row r="16" spans="1:10" ht="31.5">
      <c r="A16" s="280"/>
      <c r="B16" s="280"/>
      <c r="C16" s="280"/>
      <c r="D16" s="280"/>
      <c r="E16" s="280"/>
      <c r="F16" s="280"/>
      <c r="G16" s="280"/>
      <c r="H16" s="281"/>
      <c r="I16" s="282" t="s">
        <v>310</v>
      </c>
      <c r="J16" s="283">
        <f>Доходы!C40-функц!F14</f>
        <v>0</v>
      </c>
    </row>
    <row r="17" spans="1:10" ht="62.25" customHeight="1">
      <c r="A17" s="280"/>
      <c r="B17" s="280"/>
      <c r="C17" s="280"/>
      <c r="D17" s="280"/>
      <c r="E17" s="280"/>
      <c r="F17" s="280"/>
      <c r="G17" s="280"/>
      <c r="H17" s="284"/>
      <c r="I17" s="285" t="s">
        <v>311</v>
      </c>
      <c r="J17" s="283">
        <v>0</v>
      </c>
    </row>
    <row r="18" spans="1:10" ht="31.5">
      <c r="A18" s="286"/>
      <c r="B18" s="286"/>
      <c r="C18" s="286"/>
      <c r="D18" s="286"/>
      <c r="E18" s="286"/>
      <c r="F18" s="286"/>
      <c r="G18" s="286"/>
      <c r="H18" s="287"/>
      <c r="I18" s="282" t="s">
        <v>312</v>
      </c>
      <c r="J18" s="288"/>
    </row>
    <row r="19" spans="1:10" ht="48" customHeight="1" hidden="1">
      <c r="A19" s="289" t="s">
        <v>313</v>
      </c>
      <c r="B19" s="289"/>
      <c r="C19" s="289"/>
      <c r="D19" s="289"/>
      <c r="E19" s="289"/>
      <c r="F19" s="289"/>
      <c r="G19" s="289"/>
      <c r="H19" s="290" t="s">
        <v>313</v>
      </c>
      <c r="I19" s="282" t="s">
        <v>314</v>
      </c>
      <c r="J19" s="288"/>
    </row>
    <row r="20" spans="1:10" ht="69.75" customHeight="1" hidden="1">
      <c r="A20" s="291" t="s">
        <v>313</v>
      </c>
      <c r="B20" s="291"/>
      <c r="C20" s="291"/>
      <c r="D20" s="291"/>
      <c r="E20" s="291"/>
      <c r="F20" s="291"/>
      <c r="G20" s="291"/>
      <c r="H20" s="287" t="s">
        <v>315</v>
      </c>
      <c r="I20" s="292" t="s">
        <v>316</v>
      </c>
      <c r="J20" s="293"/>
    </row>
    <row r="21" spans="1:10" ht="66" customHeight="1" hidden="1">
      <c r="A21" s="291" t="s">
        <v>313</v>
      </c>
      <c r="B21" s="291"/>
      <c r="C21" s="291"/>
      <c r="D21" s="291"/>
      <c r="E21" s="291"/>
      <c r="F21" s="291"/>
      <c r="G21" s="291"/>
      <c r="H21" s="287" t="s">
        <v>317</v>
      </c>
      <c r="I21" s="292" t="s">
        <v>318</v>
      </c>
      <c r="J21" s="293"/>
    </row>
    <row r="22" spans="1:10" ht="48" customHeight="1" hidden="1">
      <c r="A22" s="291" t="s">
        <v>313</v>
      </c>
      <c r="B22" s="291"/>
      <c r="C22" s="291"/>
      <c r="D22" s="291"/>
      <c r="E22" s="291"/>
      <c r="F22" s="291"/>
      <c r="G22" s="291"/>
      <c r="H22" s="287" t="s">
        <v>28</v>
      </c>
      <c r="I22" s="292" t="s">
        <v>319</v>
      </c>
      <c r="J22" s="293"/>
    </row>
    <row r="23" spans="1:10" ht="66" hidden="1">
      <c r="A23" s="291" t="s">
        <v>313</v>
      </c>
      <c r="B23" s="291"/>
      <c r="C23" s="291"/>
      <c r="D23" s="291"/>
      <c r="E23" s="291"/>
      <c r="F23" s="291"/>
      <c r="G23" s="291"/>
      <c r="H23" s="287" t="s">
        <v>320</v>
      </c>
      <c r="I23" s="292" t="s">
        <v>321</v>
      </c>
      <c r="J23" s="293"/>
    </row>
    <row r="24" spans="1:10" ht="31.5">
      <c r="A24" s="289" t="s">
        <v>313</v>
      </c>
      <c r="B24" s="289" t="s">
        <v>67</v>
      </c>
      <c r="C24" s="289" t="s">
        <v>69</v>
      </c>
      <c r="D24" s="289" t="s">
        <v>322</v>
      </c>
      <c r="E24" s="289" t="s">
        <v>322</v>
      </c>
      <c r="F24" s="289" t="s">
        <v>322</v>
      </c>
      <c r="G24" s="289" t="s">
        <v>323</v>
      </c>
      <c r="H24" s="294" t="s">
        <v>313</v>
      </c>
      <c r="I24" s="282" t="s">
        <v>324</v>
      </c>
      <c r="J24" s="288">
        <f>J25-J27</f>
        <v>0</v>
      </c>
    </row>
    <row r="25" spans="1:10" ht="31.5">
      <c r="A25" s="291" t="s">
        <v>313</v>
      </c>
      <c r="B25" s="291" t="s">
        <v>67</v>
      </c>
      <c r="C25" s="291" t="s">
        <v>69</v>
      </c>
      <c r="D25" s="291" t="s">
        <v>322</v>
      </c>
      <c r="E25" s="291" t="s">
        <v>322</v>
      </c>
      <c r="F25" s="291" t="s">
        <v>322</v>
      </c>
      <c r="G25" s="291" t="s">
        <v>323</v>
      </c>
      <c r="H25" s="295" t="s">
        <v>315</v>
      </c>
      <c r="I25" s="296" t="s">
        <v>325</v>
      </c>
      <c r="J25" s="293">
        <f>J26</f>
        <v>0</v>
      </c>
    </row>
    <row r="26" spans="1:10" ht="47.25">
      <c r="A26" s="291" t="s">
        <v>313</v>
      </c>
      <c r="B26" s="291" t="s">
        <v>67</v>
      </c>
      <c r="C26" s="291" t="s">
        <v>69</v>
      </c>
      <c r="D26" s="291" t="s">
        <v>322</v>
      </c>
      <c r="E26" s="291" t="s">
        <v>322</v>
      </c>
      <c r="F26" s="291" t="s">
        <v>89</v>
      </c>
      <c r="G26" s="291" t="s">
        <v>323</v>
      </c>
      <c r="H26" s="295" t="s">
        <v>317</v>
      </c>
      <c r="I26" s="296" t="s">
        <v>326</v>
      </c>
      <c r="J26" s="297">
        <v>0</v>
      </c>
    </row>
    <row r="27" spans="1:10" ht="47.25">
      <c r="A27" s="291" t="s">
        <v>313</v>
      </c>
      <c r="B27" s="291" t="s">
        <v>67</v>
      </c>
      <c r="C27" s="291" t="s">
        <v>69</v>
      </c>
      <c r="D27" s="291" t="s">
        <v>322</v>
      </c>
      <c r="E27" s="291" t="s">
        <v>322</v>
      </c>
      <c r="F27" s="291" t="s">
        <v>322</v>
      </c>
      <c r="G27" s="291" t="s">
        <v>323</v>
      </c>
      <c r="H27" s="295" t="s">
        <v>28</v>
      </c>
      <c r="I27" s="296" t="s">
        <v>327</v>
      </c>
      <c r="J27" s="297">
        <f>J28</f>
        <v>0</v>
      </c>
    </row>
    <row r="28" spans="1:10" ht="47.25">
      <c r="A28" s="291" t="s">
        <v>313</v>
      </c>
      <c r="B28" s="291" t="s">
        <v>67</v>
      </c>
      <c r="C28" s="291" t="s">
        <v>69</v>
      </c>
      <c r="D28" s="291" t="s">
        <v>322</v>
      </c>
      <c r="E28" s="291" t="s">
        <v>322</v>
      </c>
      <c r="F28" s="291" t="s">
        <v>89</v>
      </c>
      <c r="G28" s="291" t="s">
        <v>323</v>
      </c>
      <c r="H28" s="295" t="s">
        <v>320</v>
      </c>
      <c r="I28" s="296" t="s">
        <v>328</v>
      </c>
      <c r="J28" s="297"/>
    </row>
    <row r="29" spans="1:10" ht="47.25" hidden="1">
      <c r="A29" s="289" t="s">
        <v>313</v>
      </c>
      <c r="B29" s="289" t="s">
        <v>67</v>
      </c>
      <c r="C29" s="289" t="s">
        <v>71</v>
      </c>
      <c r="D29" s="289" t="s">
        <v>322</v>
      </c>
      <c r="E29" s="289" t="s">
        <v>322</v>
      </c>
      <c r="F29" s="289" t="s">
        <v>322</v>
      </c>
      <c r="G29" s="289" t="s">
        <v>323</v>
      </c>
      <c r="H29" s="294" t="s">
        <v>313</v>
      </c>
      <c r="I29" s="282" t="s">
        <v>329</v>
      </c>
      <c r="J29" s="283">
        <f>J30-J32</f>
        <v>0</v>
      </c>
    </row>
    <row r="30" spans="1:10" ht="31.5" hidden="1">
      <c r="A30" s="291" t="s">
        <v>313</v>
      </c>
      <c r="B30" s="291" t="s">
        <v>67</v>
      </c>
      <c r="C30" s="291" t="s">
        <v>71</v>
      </c>
      <c r="D30" s="291" t="s">
        <v>322</v>
      </c>
      <c r="E30" s="291" t="s">
        <v>322</v>
      </c>
      <c r="F30" s="291" t="s">
        <v>322</v>
      </c>
      <c r="G30" s="291" t="s">
        <v>323</v>
      </c>
      <c r="H30" s="295" t="s">
        <v>315</v>
      </c>
      <c r="I30" s="296" t="s">
        <v>330</v>
      </c>
      <c r="J30" s="297">
        <f>J31</f>
        <v>0</v>
      </c>
    </row>
    <row r="31" spans="1:10" ht="63" hidden="1">
      <c r="A31" s="291" t="s">
        <v>313</v>
      </c>
      <c r="B31" s="291" t="s">
        <v>67</v>
      </c>
      <c r="C31" s="291" t="s">
        <v>71</v>
      </c>
      <c r="D31" s="291" t="s">
        <v>322</v>
      </c>
      <c r="E31" s="291" t="s">
        <v>322</v>
      </c>
      <c r="F31" s="291" t="s">
        <v>2</v>
      </c>
      <c r="G31" s="291" t="s">
        <v>323</v>
      </c>
      <c r="H31" s="295" t="s">
        <v>317</v>
      </c>
      <c r="I31" s="296" t="s">
        <v>331</v>
      </c>
      <c r="J31" s="297"/>
    </row>
    <row r="32" spans="1:10" ht="49.5" customHeight="1" hidden="1">
      <c r="A32" s="291" t="s">
        <v>313</v>
      </c>
      <c r="B32" s="291" t="s">
        <v>67</v>
      </c>
      <c r="C32" s="291" t="s">
        <v>71</v>
      </c>
      <c r="D32" s="291" t="s">
        <v>322</v>
      </c>
      <c r="E32" s="291" t="s">
        <v>322</v>
      </c>
      <c r="F32" s="291" t="s">
        <v>322</v>
      </c>
      <c r="G32" s="291" t="s">
        <v>323</v>
      </c>
      <c r="H32" s="295" t="s">
        <v>28</v>
      </c>
      <c r="I32" s="296" t="s">
        <v>332</v>
      </c>
      <c r="J32" s="297">
        <f>J33</f>
        <v>0</v>
      </c>
    </row>
    <row r="33" spans="1:10" ht="47.25" hidden="1">
      <c r="A33" s="291" t="s">
        <v>313</v>
      </c>
      <c r="B33" s="291" t="s">
        <v>67</v>
      </c>
      <c r="C33" s="291" t="s">
        <v>71</v>
      </c>
      <c r="D33" s="291" t="s">
        <v>322</v>
      </c>
      <c r="E33" s="291" t="s">
        <v>322</v>
      </c>
      <c r="F33" s="291" t="s">
        <v>2</v>
      </c>
      <c r="G33" s="291" t="s">
        <v>323</v>
      </c>
      <c r="H33" s="295" t="s">
        <v>320</v>
      </c>
      <c r="I33" s="296" t="s">
        <v>333</v>
      </c>
      <c r="J33" s="297"/>
    </row>
    <row r="34" spans="1:10" ht="31.5">
      <c r="A34" s="289" t="s">
        <v>313</v>
      </c>
      <c r="B34" s="289" t="s">
        <v>67</v>
      </c>
      <c r="C34" s="289" t="s">
        <v>2</v>
      </c>
      <c r="D34" s="289" t="s">
        <v>322</v>
      </c>
      <c r="E34" s="289" t="s">
        <v>322</v>
      </c>
      <c r="F34" s="289" t="s">
        <v>322</v>
      </c>
      <c r="G34" s="289" t="s">
        <v>323</v>
      </c>
      <c r="H34" s="294" t="s">
        <v>313</v>
      </c>
      <c r="I34" s="282" t="s">
        <v>334</v>
      </c>
      <c r="J34" s="297">
        <f>J36+J35</f>
        <v>0</v>
      </c>
    </row>
    <row r="35" spans="1:10" ht="31.5">
      <c r="A35" s="291" t="s">
        <v>313</v>
      </c>
      <c r="B35" s="291" t="s">
        <v>67</v>
      </c>
      <c r="C35" s="291" t="s">
        <v>2</v>
      </c>
      <c r="D35" s="291" t="s">
        <v>69</v>
      </c>
      <c r="E35" s="291" t="s">
        <v>67</v>
      </c>
      <c r="F35" s="291" t="s">
        <v>89</v>
      </c>
      <c r="G35" s="291" t="s">
        <v>323</v>
      </c>
      <c r="H35" s="295" t="s">
        <v>335</v>
      </c>
      <c r="I35" s="296" t="s">
        <v>336</v>
      </c>
      <c r="J35" s="297">
        <f>-(Доходы!C40+Источниковая!J25)</f>
        <v>-151997651.69</v>
      </c>
    </row>
    <row r="36" spans="1:10" ht="31.5">
      <c r="A36" s="291" t="s">
        <v>313</v>
      </c>
      <c r="B36" s="291" t="s">
        <v>67</v>
      </c>
      <c r="C36" s="291" t="s">
        <v>2</v>
      </c>
      <c r="D36" s="291" t="s">
        <v>69</v>
      </c>
      <c r="E36" s="291" t="s">
        <v>67</v>
      </c>
      <c r="F36" s="291" t="s">
        <v>89</v>
      </c>
      <c r="G36" s="291" t="s">
        <v>323</v>
      </c>
      <c r="H36" s="295" t="s">
        <v>29</v>
      </c>
      <c r="I36" s="296" t="s">
        <v>337</v>
      </c>
      <c r="J36" s="293">
        <f>функц!F14</f>
        <v>151997651.69</v>
      </c>
    </row>
    <row r="37" spans="1:10" ht="31.5" hidden="1">
      <c r="A37" s="289" t="s">
        <v>313</v>
      </c>
      <c r="B37" s="289" t="s">
        <v>67</v>
      </c>
      <c r="C37" s="289" t="s">
        <v>76</v>
      </c>
      <c r="D37" s="289" t="s">
        <v>322</v>
      </c>
      <c r="E37" s="289" t="s">
        <v>322</v>
      </c>
      <c r="F37" s="289" t="s">
        <v>322</v>
      </c>
      <c r="G37" s="289" t="s">
        <v>323</v>
      </c>
      <c r="H37" s="294" t="s">
        <v>313</v>
      </c>
      <c r="I37" s="282" t="s">
        <v>338</v>
      </c>
      <c r="J37" s="293">
        <f>J38+J40+J43</f>
        <v>0</v>
      </c>
    </row>
    <row r="38" spans="1:10" ht="47.25" hidden="1">
      <c r="A38" s="291"/>
      <c r="B38" s="291"/>
      <c r="C38" s="291"/>
      <c r="D38" s="291"/>
      <c r="E38" s="291"/>
      <c r="F38" s="291"/>
      <c r="G38" s="291"/>
      <c r="H38" s="290" t="s">
        <v>313</v>
      </c>
      <c r="I38" s="282" t="s">
        <v>339</v>
      </c>
      <c r="J38" s="293">
        <f>J39</f>
        <v>0</v>
      </c>
    </row>
    <row r="39" spans="1:10" ht="49.5" customHeight="1" hidden="1">
      <c r="A39" s="291"/>
      <c r="B39" s="291"/>
      <c r="C39" s="291"/>
      <c r="D39" s="291"/>
      <c r="E39" s="291"/>
      <c r="F39" s="291"/>
      <c r="G39" s="291"/>
      <c r="H39" s="287" t="s">
        <v>340</v>
      </c>
      <c r="I39" s="296" t="s">
        <v>341</v>
      </c>
      <c r="J39" s="293"/>
    </row>
    <row r="40" spans="1:10" ht="31.5" hidden="1">
      <c r="A40" s="289" t="s">
        <v>313</v>
      </c>
      <c r="B40" s="289" t="s">
        <v>67</v>
      </c>
      <c r="C40" s="289" t="s">
        <v>76</v>
      </c>
      <c r="D40" s="289" t="s">
        <v>73</v>
      </c>
      <c r="E40" s="289" t="s">
        <v>322</v>
      </c>
      <c r="F40" s="289" t="s">
        <v>322</v>
      </c>
      <c r="G40" s="289" t="s">
        <v>323</v>
      </c>
      <c r="H40" s="290" t="s">
        <v>313</v>
      </c>
      <c r="I40" s="282" t="s">
        <v>342</v>
      </c>
      <c r="J40" s="288">
        <f>J41</f>
        <v>0</v>
      </c>
    </row>
    <row r="41" spans="1:10" ht="141.75" hidden="1">
      <c r="A41" s="291" t="s">
        <v>313</v>
      </c>
      <c r="B41" s="291" t="s">
        <v>67</v>
      </c>
      <c r="C41" s="291" t="s">
        <v>76</v>
      </c>
      <c r="D41" s="291" t="s">
        <v>73</v>
      </c>
      <c r="E41" s="291" t="s">
        <v>322</v>
      </c>
      <c r="F41" s="291" t="s">
        <v>322</v>
      </c>
      <c r="G41" s="291" t="s">
        <v>323</v>
      </c>
      <c r="H41" s="287" t="s">
        <v>28</v>
      </c>
      <c r="I41" s="296" t="s">
        <v>343</v>
      </c>
      <c r="J41" s="293">
        <f>J42</f>
        <v>0</v>
      </c>
    </row>
    <row r="42" spans="1:10" ht="126" hidden="1">
      <c r="A42" s="291" t="s">
        <v>313</v>
      </c>
      <c r="B42" s="291" t="s">
        <v>67</v>
      </c>
      <c r="C42" s="291" t="s">
        <v>76</v>
      </c>
      <c r="D42" s="291" t="s">
        <v>73</v>
      </c>
      <c r="E42" s="291" t="s">
        <v>322</v>
      </c>
      <c r="F42" s="291" t="s">
        <v>2</v>
      </c>
      <c r="G42" s="291" t="s">
        <v>323</v>
      </c>
      <c r="H42" s="287" t="s">
        <v>320</v>
      </c>
      <c r="I42" s="296" t="s">
        <v>344</v>
      </c>
      <c r="J42" s="297"/>
    </row>
    <row r="43" spans="1:10" ht="47.25" hidden="1">
      <c r="A43" s="291" t="s">
        <v>313</v>
      </c>
      <c r="B43" s="291" t="s">
        <v>67</v>
      </c>
      <c r="C43" s="291" t="s">
        <v>76</v>
      </c>
      <c r="D43" s="291" t="s">
        <v>2</v>
      </c>
      <c r="E43" s="291" t="s">
        <v>322</v>
      </c>
      <c r="F43" s="291" t="s">
        <v>322</v>
      </c>
      <c r="G43" s="291" t="s">
        <v>323</v>
      </c>
      <c r="H43" s="295" t="s">
        <v>313</v>
      </c>
      <c r="I43" s="282" t="s">
        <v>329</v>
      </c>
      <c r="J43" s="293">
        <f>J44-J46</f>
        <v>0</v>
      </c>
    </row>
    <row r="44" spans="1:10" ht="31.5" hidden="1">
      <c r="A44" s="291" t="s">
        <v>313</v>
      </c>
      <c r="B44" s="291" t="s">
        <v>67</v>
      </c>
      <c r="C44" s="291" t="s">
        <v>76</v>
      </c>
      <c r="D44" s="291" t="s">
        <v>2</v>
      </c>
      <c r="E44" s="291" t="s">
        <v>322</v>
      </c>
      <c r="F44" s="291" t="s">
        <v>322</v>
      </c>
      <c r="G44" s="291" t="s">
        <v>323</v>
      </c>
      <c r="H44" s="295" t="s">
        <v>345</v>
      </c>
      <c r="I44" s="296" t="s">
        <v>346</v>
      </c>
      <c r="J44" s="293">
        <f>J45</f>
        <v>0</v>
      </c>
    </row>
    <row r="45" spans="1:10" ht="36" customHeight="1" hidden="1">
      <c r="A45" s="298" t="s">
        <v>313</v>
      </c>
      <c r="B45" s="298" t="s">
        <v>67</v>
      </c>
      <c r="C45" s="298" t="s">
        <v>76</v>
      </c>
      <c r="D45" s="298" t="s">
        <v>2</v>
      </c>
      <c r="E45" s="298" t="s">
        <v>67</v>
      </c>
      <c r="F45" s="298" t="s">
        <v>2</v>
      </c>
      <c r="G45" s="298" t="s">
        <v>323</v>
      </c>
      <c r="H45" s="299" t="s">
        <v>347</v>
      </c>
      <c r="I45" s="296" t="s">
        <v>348</v>
      </c>
      <c r="J45" s="293"/>
    </row>
    <row r="46" spans="1:10" ht="31.5" hidden="1">
      <c r="A46" s="291" t="s">
        <v>313</v>
      </c>
      <c r="B46" s="291" t="s">
        <v>67</v>
      </c>
      <c r="C46" s="291" t="s">
        <v>76</v>
      </c>
      <c r="D46" s="291" t="s">
        <v>2</v>
      </c>
      <c r="E46" s="291" t="s">
        <v>322</v>
      </c>
      <c r="F46" s="291" t="s">
        <v>322</v>
      </c>
      <c r="G46" s="291" t="s">
        <v>323</v>
      </c>
      <c r="H46" s="295" t="s">
        <v>349</v>
      </c>
      <c r="I46" s="296" t="s">
        <v>350</v>
      </c>
      <c r="J46" s="293">
        <f>J47</f>
        <v>0</v>
      </c>
    </row>
    <row r="47" spans="1:10" ht="31.5" hidden="1">
      <c r="A47" s="291" t="s">
        <v>313</v>
      </c>
      <c r="B47" s="291" t="s">
        <v>67</v>
      </c>
      <c r="C47" s="291" t="s">
        <v>76</v>
      </c>
      <c r="D47" s="291" t="s">
        <v>2</v>
      </c>
      <c r="E47" s="291" t="s">
        <v>67</v>
      </c>
      <c r="F47" s="291" t="s">
        <v>2</v>
      </c>
      <c r="G47" s="291" t="s">
        <v>323</v>
      </c>
      <c r="H47" s="295" t="s">
        <v>30</v>
      </c>
      <c r="I47" s="296" t="s">
        <v>351</v>
      </c>
      <c r="J47" s="293"/>
    </row>
    <row r="48" spans="1:10" ht="28.5">
      <c r="A48" s="289" t="s">
        <v>313</v>
      </c>
      <c r="B48" s="289" t="s">
        <v>322</v>
      </c>
      <c r="C48" s="289" t="s">
        <v>322</v>
      </c>
      <c r="D48" s="289" t="s">
        <v>322</v>
      </c>
      <c r="E48" s="289" t="s">
        <v>322</v>
      </c>
      <c r="F48" s="289" t="s">
        <v>322</v>
      </c>
      <c r="G48" s="289" t="s">
        <v>323</v>
      </c>
      <c r="H48" s="294" t="s">
        <v>313</v>
      </c>
      <c r="I48" s="282"/>
      <c r="J48" s="288">
        <f>J24+J29+J34+J37</f>
        <v>0</v>
      </c>
    </row>
  </sheetData>
  <sheetProtection/>
  <mergeCells count="12">
    <mergeCell ref="A1:J1"/>
    <mergeCell ref="A2:J2"/>
    <mergeCell ref="A3:J3"/>
    <mergeCell ref="A4:J4"/>
    <mergeCell ref="A5:J5"/>
    <mergeCell ref="A6:J6"/>
    <mergeCell ref="A7:J7"/>
    <mergeCell ref="A8:J8"/>
    <mergeCell ref="A11:J11"/>
    <mergeCell ref="B14:H14"/>
    <mergeCell ref="I14:I15"/>
    <mergeCell ref="J14:J1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user</cp:lastModifiedBy>
  <cp:lastPrinted>2017-08-03T09:05:14Z</cp:lastPrinted>
  <dcterms:created xsi:type="dcterms:W3CDTF">2012-11-02T09:41:20Z</dcterms:created>
  <dcterms:modified xsi:type="dcterms:W3CDTF">2017-08-03T09:05:16Z</dcterms:modified>
  <cp:category/>
  <cp:version/>
  <cp:contentType/>
  <cp:contentStatus/>
</cp:coreProperties>
</file>